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66925"/>
  <xr:revisionPtr revIDLastSave="0" documentId="13_ncr:1_{C5633BA0-B910-4762-A872-A5EDC81F3668}" xr6:coauthVersionLast="47" xr6:coauthVersionMax="47" xr10:uidLastSave="{00000000-0000-0000-0000-000000000000}"/>
  <workbookProtection workbookAlgorithmName="SHA-512" workbookHashValue="hepXKtvQPhiF0UriMZUCjhzilXaG4+vn9ji9tO8PrgFDGnwbmAyi/Y9hZzUrLh3+bxL20EVnIccbUxbMvaVSXQ==" workbookSaltValue="8Ve1GlxCQCIFagM9ls5jKQ==" workbookSpinCount="100000" lockStructure="1"/>
  <bookViews>
    <workbookView xWindow="-7920" yWindow="-17388" windowWidth="30936" windowHeight="16776" xr2:uid="{00000000-000D-0000-FFFF-FFFF00000000}"/>
  </bookViews>
  <sheets>
    <sheet name="R8" sheetId="1" r:id="rId1"/>
    <sheet name="源泉徴収票（給与）" sheetId="3" r:id="rId2"/>
    <sheet name="公的年金等の所得計算方法" sheetId="4" r:id="rId3"/>
    <sheet name="給与所得の計算" sheetId="5" state="hidden" r:id="rId4"/>
    <sheet name="リスト用" sheetId="2" state="hidden" r:id="rId5"/>
  </sheets>
  <definedNames>
    <definedName name="_xlnm.Print_Area" localSheetId="2">公的年金等の所得計算方法!$A$1:$J$57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22" i="1" l="1"/>
  <c r="AC20" i="1"/>
  <c r="AC21" i="1"/>
  <c r="AC19" i="1"/>
  <c r="AC18" i="1"/>
  <c r="AC16" i="1"/>
  <c r="AC15" i="1"/>
  <c r="AC14" i="1"/>
  <c r="AC13" i="1"/>
  <c r="AC12" i="1"/>
  <c r="AC11" i="1"/>
  <c r="AC10" i="1"/>
  <c r="AB7" i="1" l="1"/>
  <c r="AB6" i="1"/>
  <c r="AB5" i="1"/>
  <c r="AB3" i="1" l="1"/>
  <c r="P5" i="4"/>
  <c r="C9" i="4" s="1"/>
  <c r="V4" i="1"/>
  <c r="V5" i="1"/>
  <c r="V6" i="1"/>
  <c r="V3" i="1"/>
  <c r="T3" i="1"/>
  <c r="AB14" i="1" s="1"/>
  <c r="AB18" i="1" l="1"/>
  <c r="H3" i="1"/>
  <c r="U6" i="1" l="1"/>
  <c r="U5" i="1"/>
  <c r="U4" i="1"/>
  <c r="J9" i="1"/>
  <c r="L9" i="1"/>
  <c r="K10" i="1"/>
  <c r="J10" i="1"/>
  <c r="T6" i="1"/>
  <c r="T5" i="1"/>
  <c r="T4" i="1"/>
  <c r="AB19" i="1" s="1"/>
  <c r="H9" i="1"/>
  <c r="F9" i="1"/>
  <c r="D9" i="1"/>
  <c r="C10" i="1"/>
  <c r="I10" i="1"/>
  <c r="G10" i="1"/>
  <c r="H10" i="1"/>
  <c r="F10" i="1"/>
  <c r="E10" i="1"/>
  <c r="D10" i="1"/>
  <c r="AB21" i="1" l="1"/>
  <c r="H6" i="1"/>
  <c r="AB20" i="1"/>
  <c r="AB12" i="1"/>
  <c r="H5" i="1"/>
  <c r="AB16" i="1"/>
  <c r="AB17" i="1"/>
  <c r="AB15" i="1"/>
  <c r="H4" i="1"/>
  <c r="AB13" i="1"/>
  <c r="AB11" i="1"/>
  <c r="AB4" i="1" l="1"/>
  <c r="AC9" i="1"/>
  <c r="AC8" i="1"/>
  <c r="AC7" i="1"/>
  <c r="AC6" i="1"/>
  <c r="AC5" i="1"/>
  <c r="AC4" i="1"/>
  <c r="AC3" i="1"/>
  <c r="W22" i="1"/>
  <c r="W23" i="1"/>
  <c r="W24" i="1"/>
  <c r="W21" i="1"/>
  <c r="V22" i="1"/>
  <c r="V23" i="1"/>
  <c r="V24" i="1"/>
  <c r="V21" i="1"/>
  <c r="D13" i="5" l="1"/>
  <c r="D12" i="5"/>
  <c r="D11" i="5"/>
  <c r="D10" i="5"/>
  <c r="D9" i="5"/>
  <c r="D8" i="5"/>
  <c r="D7" i="5"/>
  <c r="D6" i="5"/>
  <c r="D5" i="5"/>
  <c r="D4" i="5"/>
  <c r="D3" i="5"/>
  <c r="J34" i="1"/>
  <c r="F6" i="1"/>
  <c r="F5" i="1"/>
  <c r="F4" i="1"/>
  <c r="U3" i="1"/>
  <c r="F3" i="1" s="1"/>
  <c r="S3" i="1"/>
  <c r="AB8" i="1" l="1"/>
  <c r="AB10" i="1"/>
  <c r="J3" i="1"/>
  <c r="C11" i="1" s="1"/>
  <c r="J2" i="5"/>
  <c r="W4" i="1"/>
  <c r="X4" i="1" s="1"/>
  <c r="W6" i="1"/>
  <c r="X6" i="1" s="1"/>
  <c r="W5" i="1"/>
  <c r="X5" i="1" s="1"/>
  <c r="W3" i="1"/>
  <c r="X3" i="1" s="1"/>
  <c r="AB9" i="1"/>
  <c r="J4" i="1"/>
  <c r="C12" i="1" s="1"/>
  <c r="I12" i="1" s="1"/>
  <c r="T7" i="1"/>
  <c r="AB22" i="1" s="1"/>
  <c r="J5" i="1"/>
  <c r="C13" i="1" s="1"/>
  <c r="J6" i="1"/>
  <c r="C14" i="1" s="1"/>
  <c r="AA24" i="1" l="1" a="1"/>
  <c r="AA24" i="1" s="1"/>
  <c r="J18" i="1" s="1"/>
  <c r="K14" i="1"/>
  <c r="I14" i="1"/>
  <c r="K3" i="1"/>
  <c r="X7" i="1"/>
  <c r="I13" i="1"/>
  <c r="K13" i="1"/>
  <c r="E12" i="1"/>
  <c r="K12" i="1"/>
  <c r="K5" i="1"/>
  <c r="K4" i="1"/>
  <c r="K6" i="1"/>
  <c r="J17" i="1"/>
  <c r="G14" i="1"/>
  <c r="E14" i="1"/>
  <c r="E13" i="1"/>
  <c r="G13" i="1"/>
  <c r="G12" i="1"/>
  <c r="I11" i="1" l="1"/>
  <c r="K11" i="1"/>
  <c r="K7" i="1"/>
  <c r="B10" i="1" s="1"/>
  <c r="G11" i="1"/>
  <c r="E11" i="1"/>
  <c r="H14" i="1" l="1"/>
  <c r="J14" i="1"/>
  <c r="D11" i="1"/>
  <c r="D12" i="1"/>
  <c r="F14" i="1"/>
  <c r="D14" i="1"/>
  <c r="H13" i="1" l="1"/>
  <c r="H12" i="1"/>
  <c r="H11" i="1"/>
  <c r="J11" i="1"/>
  <c r="J12" i="1"/>
  <c r="J13" i="1"/>
  <c r="D13" i="1"/>
  <c r="F13" i="1"/>
  <c r="F12" i="1"/>
  <c r="X21" i="1"/>
  <c r="Y21" i="1" s="1"/>
  <c r="X22" i="1"/>
  <c r="Y22" i="1" s="1"/>
  <c r="F11" i="1"/>
  <c r="X23" i="1"/>
  <c r="Y23" i="1" s="1"/>
  <c r="D15" i="1" l="1"/>
  <c r="H15" i="1"/>
  <c r="J15" i="1"/>
  <c r="F15" i="1"/>
  <c r="L15" i="1" l="1"/>
  <c r="L11" i="1" l="1"/>
  <c r="L14" i="1"/>
  <c r="L12" i="1"/>
  <c r="L13" i="1"/>
  <c r="L1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 authorId="0" shapeId="0" xr:uid="{00000000-0006-0000-0000-000001000000}">
      <text>
        <r>
          <rPr>
            <b/>
            <sz val="9"/>
            <color indexed="81"/>
            <rFont val="MS P ゴシック"/>
            <family val="3"/>
            <charset val="128"/>
          </rPr>
          <t>N列より右は非表示</t>
        </r>
      </text>
    </comment>
    <comment ref="Q2" authorId="0" shapeId="0" xr:uid="{00000000-0006-0000-0000-000002000000}">
      <text>
        <r>
          <rPr>
            <b/>
            <sz val="9"/>
            <color indexed="81"/>
            <rFont val="MS P ゴシック"/>
            <family val="3"/>
            <charset val="128"/>
          </rPr>
          <t>S3からS8は書式変更しないでください。リストの見え方に影響します。</t>
        </r>
      </text>
    </comment>
    <comment ref="T2" authorId="0" shapeId="0" xr:uid="{00000000-0006-0000-0000-000003000000}">
      <text>
        <r>
          <rPr>
            <b/>
            <sz val="9"/>
            <color indexed="81"/>
            <rFont val="MS P ゴシック"/>
            <family val="3"/>
            <charset val="128"/>
          </rPr>
          <t>年齢区分リスト用のセルと対応しています。
※*年齢（年齢未選択の状態）
の場合、年齢区分＝１
となります。</t>
        </r>
      </text>
    </comment>
    <comment ref="U2" authorId="0" shapeId="0" xr:uid="{00000000-0006-0000-0000-000004000000}">
      <text>
        <r>
          <rPr>
            <b/>
            <sz val="9"/>
            <color indexed="81"/>
            <rFont val="MS P ゴシック"/>
            <family val="3"/>
            <charset val="128"/>
          </rPr>
          <t>会社都合BOXにチェックした場合に、TRUE
となります。</t>
        </r>
      </text>
    </comment>
    <comment ref="S3" authorId="0" shapeId="0" xr:uid="{00000000-0006-0000-0000-000005000000}">
      <text>
        <r>
          <rPr>
            <sz val="11"/>
            <color indexed="81"/>
            <rFont val="MS P ゴシック"/>
            <family val="3"/>
            <charset val="128"/>
          </rPr>
          <t>普主＝TRUE
擬主＝FALSE</t>
        </r>
      </text>
    </comment>
    <comment ref="T3" authorId="0" shapeId="0" xr:uid="{00000000-0006-0000-0000-000006000000}">
      <text>
        <r>
          <rPr>
            <sz val="11"/>
            <color indexed="81"/>
            <rFont val="MS P ゴシック"/>
            <family val="3"/>
            <charset val="128"/>
          </rPr>
          <t>年齢区分</t>
        </r>
        <r>
          <rPr>
            <sz val="9"/>
            <color indexed="81"/>
            <rFont val="MS P ゴシック"/>
            <family val="3"/>
            <charset val="128"/>
          </rPr>
          <t xml:space="preserve">
</t>
        </r>
      </text>
    </comment>
    <comment ref="Y21" authorId="0" shapeId="0" xr:uid="{00000000-0006-0000-0000-000007000000}">
      <text>
        <r>
          <rPr>
            <b/>
            <sz val="9"/>
            <color indexed="81"/>
            <rFont val="MS P ゴシック"/>
            <family val="3"/>
            <charset val="128"/>
          </rPr>
          <t>J7軽減判定所得計が軽減判定額以下ならTRUE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<sst xmlns="http://schemas.openxmlformats.org/spreadsheetml/2006/main" count="170" uniqueCount="135">
  <si>
    <t>給与所得（円）</t>
    <rPh sb="0" eb="2">
      <t>キュウヨ</t>
    </rPh>
    <rPh sb="2" eb="4">
      <t>ショトク</t>
    </rPh>
    <rPh sb="5" eb="6">
      <t>エン</t>
    </rPh>
    <phoneticPr fontId="5"/>
  </si>
  <si>
    <r>
      <t>年金所得（円）</t>
    </r>
    <r>
      <rPr>
        <sz val="11"/>
        <color indexed="10"/>
        <rFont val="ＭＳ Ｐゴシック"/>
        <family val="3"/>
        <charset val="128"/>
      </rPr>
      <t xml:space="preserve">B
</t>
    </r>
    <rPh sb="0" eb="2">
      <t>ネンキン</t>
    </rPh>
    <rPh sb="2" eb="4">
      <t>ショトク</t>
    </rPh>
    <phoneticPr fontId="5"/>
  </si>
  <si>
    <r>
      <t xml:space="preserve">所得の合計（円） </t>
    </r>
    <r>
      <rPr>
        <sz val="10"/>
        <color indexed="10"/>
        <rFont val="ＭＳ Ｐゴシック"/>
        <family val="3"/>
        <charset val="128"/>
      </rPr>
      <t xml:space="preserve">D
</t>
    </r>
    <r>
      <rPr>
        <sz val="10"/>
        <rFont val="ＭＳ Ｐゴシック"/>
        <family val="3"/>
        <charset val="128"/>
      </rPr>
      <t>A+B+C</t>
    </r>
    <rPh sb="0" eb="2">
      <t>ショトク</t>
    </rPh>
    <rPh sb="3" eb="5">
      <t>ゴウケイ</t>
    </rPh>
    <phoneticPr fontId="5"/>
  </si>
  <si>
    <t>軽減判定所得</t>
    <rPh sb="0" eb="2">
      <t>ケイゲン</t>
    </rPh>
    <rPh sb="2" eb="4">
      <t>ハンテイ</t>
    </rPh>
    <rPh sb="4" eb="6">
      <t>ショトク</t>
    </rPh>
    <phoneticPr fontId="5"/>
  </si>
  <si>
    <t>退職理由
(軽減判定用）</t>
    <rPh sb="0" eb="2">
      <t>タイショク</t>
    </rPh>
    <rPh sb="2" eb="4">
      <t>リユウ</t>
    </rPh>
    <rPh sb="6" eb="11">
      <t>ケイゲンハンテイヨウ</t>
    </rPh>
    <phoneticPr fontId="5"/>
  </si>
  <si>
    <t>　</t>
    <phoneticPr fontId="5"/>
  </si>
  <si>
    <t>年齢区分リスト用</t>
    <rPh sb="0" eb="2">
      <t>ネンレイ</t>
    </rPh>
    <rPh sb="2" eb="4">
      <t>クブン</t>
    </rPh>
    <rPh sb="7" eb="8">
      <t>ヨウ</t>
    </rPh>
    <phoneticPr fontId="13"/>
  </si>
  <si>
    <t>入力値対応欄</t>
    <rPh sb="0" eb="3">
      <t>ニュウリョクチ</t>
    </rPh>
    <rPh sb="3" eb="5">
      <t>タイオウ</t>
    </rPh>
    <rPh sb="5" eb="6">
      <t>ラン</t>
    </rPh>
    <phoneticPr fontId="13"/>
  </si>
  <si>
    <t>擬主普主区分</t>
    <rPh sb="0" eb="2">
      <t>ギヌシ</t>
    </rPh>
    <rPh sb="2" eb="4">
      <t>フヌシ</t>
    </rPh>
    <rPh sb="4" eb="6">
      <t>クブン</t>
    </rPh>
    <phoneticPr fontId="13"/>
  </si>
  <si>
    <t>年齢区分</t>
    <rPh sb="0" eb="2">
      <t>ネンレイ</t>
    </rPh>
    <rPh sb="2" eb="4">
      <t>クブン</t>
    </rPh>
    <phoneticPr fontId="13"/>
  </si>
  <si>
    <t>退職理由チェック
非自発失業判定用</t>
    <rPh sb="0" eb="2">
      <t>タイショク</t>
    </rPh>
    <rPh sb="2" eb="4">
      <t>リユウ</t>
    </rPh>
    <rPh sb="9" eb="12">
      <t>ヒジハツ</t>
    </rPh>
    <rPh sb="12" eb="14">
      <t>シツギョウ</t>
    </rPh>
    <rPh sb="14" eb="16">
      <t>ハンテイ</t>
    </rPh>
    <rPh sb="16" eb="17">
      <t>ヨウ</t>
    </rPh>
    <phoneticPr fontId="13"/>
  </si>
  <si>
    <t>給与所得あり</t>
    <rPh sb="0" eb="2">
      <t>キュウヨ</t>
    </rPh>
    <rPh sb="2" eb="4">
      <t>ショトク</t>
    </rPh>
    <phoneticPr fontId="13"/>
  </si>
  <si>
    <t>年金所得あり</t>
    <rPh sb="0" eb="4">
      <t>ネンキンショトク</t>
    </rPh>
    <phoneticPr fontId="13"/>
  </si>
  <si>
    <t>給与所得or年金所得あり</t>
    <rPh sb="0" eb="2">
      <t>キュウヨ</t>
    </rPh>
    <rPh sb="2" eb="4">
      <t>ショトク</t>
    </rPh>
    <rPh sb="6" eb="8">
      <t>ネンキン</t>
    </rPh>
    <rPh sb="8" eb="10">
      <t>ショトク</t>
    </rPh>
    <phoneticPr fontId="13"/>
  </si>
  <si>
    <t>連番</t>
    <rPh sb="0" eb="2">
      <t>レンバン</t>
    </rPh>
    <phoneticPr fontId="2"/>
  </si>
  <si>
    <t>チェック</t>
    <phoneticPr fontId="2"/>
  </si>
  <si>
    <t>エラー内容</t>
    <rPh sb="3" eb="5">
      <t>ナイヨウ</t>
    </rPh>
    <phoneticPr fontId="2"/>
  </si>
  <si>
    <t>世帯主</t>
    <rPh sb="0" eb="3">
      <t>セタイヌシ</t>
    </rPh>
    <phoneticPr fontId="5"/>
  </si>
  <si>
    <t>加入する</t>
    <rPh sb="0" eb="2">
      <t>カニュウ</t>
    </rPh>
    <phoneticPr fontId="15"/>
  </si>
  <si>
    <t xml:space="preserve">  </t>
  </si>
  <si>
    <t>*年齢</t>
    <phoneticPr fontId="13"/>
  </si>
  <si>
    <t>世帯主</t>
    <rPh sb="0" eb="3">
      <t>セタイヌシ</t>
    </rPh>
    <phoneticPr fontId="13"/>
  </si>
  <si>
    <t>世帯主以外</t>
    <rPh sb="0" eb="3">
      <t>セタイヌシ</t>
    </rPh>
    <rPh sb="3" eb="5">
      <t>イガイ</t>
    </rPh>
    <phoneticPr fontId="5"/>
  </si>
  <si>
    <t>加入者1</t>
    <rPh sb="0" eb="3">
      <t>カニュウシャ</t>
    </rPh>
    <phoneticPr fontId="5"/>
  </si>
  <si>
    <t>会社都合退職</t>
    <rPh sb="0" eb="6">
      <t>カイシャツゴウタイショク</t>
    </rPh>
    <phoneticPr fontId="15"/>
  </si>
  <si>
    <t>0歳～6歳(未就学児)</t>
    <rPh sb="6" eb="10">
      <t>ミシュウガクジ</t>
    </rPh>
    <phoneticPr fontId="13"/>
  </si>
  <si>
    <t>加入者１</t>
    <rPh sb="0" eb="3">
      <t>カニュウシャ</t>
    </rPh>
    <phoneticPr fontId="13"/>
  </si>
  <si>
    <t>加入者2</t>
    <rPh sb="0" eb="3">
      <t>カニュウシャ</t>
    </rPh>
    <phoneticPr fontId="5"/>
  </si>
  <si>
    <t>加入者２</t>
    <rPh sb="0" eb="3">
      <t>カニュウシャ</t>
    </rPh>
    <phoneticPr fontId="13"/>
  </si>
  <si>
    <t>加入者3</t>
    <rPh sb="0" eb="3">
      <t>カニュウシャ</t>
    </rPh>
    <phoneticPr fontId="5"/>
  </si>
  <si>
    <t>40歳～64歳</t>
    <rPh sb="2" eb="3">
      <t>サイ</t>
    </rPh>
    <rPh sb="6" eb="7">
      <t>サイ</t>
    </rPh>
    <phoneticPr fontId="5"/>
  </si>
  <si>
    <t>加入者３</t>
    <rPh sb="0" eb="3">
      <t>カニュウシャ</t>
    </rPh>
    <phoneticPr fontId="13"/>
  </si>
  <si>
    <t>軽減判定所得計</t>
    <rPh sb="0" eb="2">
      <t>ケイゲン</t>
    </rPh>
    <rPh sb="2" eb="4">
      <t>ハンテイ</t>
    </rPh>
    <rPh sb="4" eb="6">
      <t>ショトク</t>
    </rPh>
    <rPh sb="6" eb="7">
      <t>ケイ</t>
    </rPh>
    <phoneticPr fontId="5"/>
  </si>
  <si>
    <t>65歳～74歳</t>
    <rPh sb="2" eb="3">
      <t>サイ</t>
    </rPh>
    <rPh sb="6" eb="7">
      <t>サイ</t>
    </rPh>
    <phoneticPr fontId="5"/>
  </si>
  <si>
    <t>加入者数</t>
    <rPh sb="0" eb="4">
      <t>カニュウシャスウ</t>
    </rPh>
    <phoneticPr fontId="13"/>
  </si>
  <si>
    <t>給与所得者等の人数</t>
    <rPh sb="0" eb="6">
      <t>キュウヨショトクシャトウ</t>
    </rPh>
    <rPh sb="7" eb="9">
      <t>ニンズウ</t>
    </rPh>
    <phoneticPr fontId="13"/>
  </si>
  <si>
    <t>75歳以上</t>
    <rPh sb="2" eb="3">
      <t>サイ</t>
    </rPh>
    <rPh sb="3" eb="5">
      <t>イジョウ</t>
    </rPh>
    <phoneticPr fontId="5"/>
  </si>
  <si>
    <r>
      <t xml:space="preserve">軽減割合 </t>
    </r>
    <r>
      <rPr>
        <sz val="11"/>
        <color indexed="10"/>
        <rFont val="ＭＳ Ｐゴシック"/>
        <family val="3"/>
        <charset val="128"/>
      </rPr>
      <t>E</t>
    </r>
    <rPh sb="0" eb="2">
      <t>ケイゲン</t>
    </rPh>
    <rPh sb="2" eb="4">
      <t>ワリアイ</t>
    </rPh>
    <phoneticPr fontId="5"/>
  </si>
  <si>
    <t>所得割算定基礎額(円)</t>
    <rPh sb="0" eb="2">
      <t>ショトク</t>
    </rPh>
    <rPh sb="2" eb="3">
      <t>ワリ</t>
    </rPh>
    <rPh sb="3" eb="5">
      <t>サンテイ</t>
    </rPh>
    <rPh sb="5" eb="7">
      <t>キソ</t>
    </rPh>
    <rPh sb="7" eb="8">
      <t>ガク</t>
    </rPh>
    <rPh sb="9" eb="10">
      <t>エン</t>
    </rPh>
    <phoneticPr fontId="5"/>
  </si>
  <si>
    <t>※保険料率等、数字の部分は年度毎に確認して変更してください。</t>
    <rPh sb="1" eb="4">
      <t>ホケンリョウ</t>
    </rPh>
    <rPh sb="4" eb="5">
      <t>リツ</t>
    </rPh>
    <rPh sb="5" eb="6">
      <t>トウ</t>
    </rPh>
    <rPh sb="7" eb="9">
      <t>スウジ</t>
    </rPh>
    <rPh sb="10" eb="12">
      <t>ブブン</t>
    </rPh>
    <rPh sb="13" eb="15">
      <t>ネンド</t>
    </rPh>
    <rPh sb="15" eb="16">
      <t>マイ</t>
    </rPh>
    <rPh sb="17" eb="19">
      <t>カクニン</t>
    </rPh>
    <rPh sb="21" eb="23">
      <t>ヘンコウ</t>
    </rPh>
    <phoneticPr fontId="13"/>
  </si>
  <si>
    <t>限度額</t>
    <rPh sb="0" eb="3">
      <t>ゲンドガク</t>
    </rPh>
    <phoneticPr fontId="13"/>
  </si>
  <si>
    <t>所得割率</t>
    <rPh sb="0" eb="3">
      <t>ショトクワリ</t>
    </rPh>
    <rPh sb="3" eb="4">
      <t>リツ</t>
    </rPh>
    <phoneticPr fontId="13"/>
  </si>
  <si>
    <t>均等割額</t>
    <rPh sb="0" eb="3">
      <t>キントウワ</t>
    </rPh>
    <rPh sb="3" eb="4">
      <t>ガク</t>
    </rPh>
    <phoneticPr fontId="13"/>
  </si>
  <si>
    <t>医療分</t>
    <rPh sb="0" eb="3">
      <t>イリョウブン</t>
    </rPh>
    <phoneticPr fontId="13"/>
  </si>
  <si>
    <t>医療分限度額、所得割率、均等割額</t>
    <rPh sb="0" eb="2">
      <t>イリョウ</t>
    </rPh>
    <rPh sb="2" eb="3">
      <t>ブン</t>
    </rPh>
    <rPh sb="3" eb="5">
      <t>ゲンド</t>
    </rPh>
    <rPh sb="5" eb="6">
      <t>ガク</t>
    </rPh>
    <rPh sb="7" eb="9">
      <t>ショトク</t>
    </rPh>
    <rPh sb="9" eb="10">
      <t>ワリ</t>
    </rPh>
    <rPh sb="10" eb="11">
      <t>リツ</t>
    </rPh>
    <rPh sb="12" eb="15">
      <t>キントウワ</t>
    </rPh>
    <rPh sb="15" eb="16">
      <t>ガク</t>
    </rPh>
    <phoneticPr fontId="5"/>
  </si>
  <si>
    <t>支援分</t>
    <rPh sb="0" eb="2">
      <t>シエン</t>
    </rPh>
    <rPh sb="2" eb="3">
      <t>ブン</t>
    </rPh>
    <phoneticPr fontId="13"/>
  </si>
  <si>
    <t>支援分限度額、所得割率、均等割額</t>
    <rPh sb="0" eb="2">
      <t>シエン</t>
    </rPh>
    <rPh sb="2" eb="3">
      <t>ブン</t>
    </rPh>
    <rPh sb="3" eb="5">
      <t>ゲンド</t>
    </rPh>
    <rPh sb="5" eb="6">
      <t>ガク</t>
    </rPh>
    <rPh sb="7" eb="9">
      <t>ショトク</t>
    </rPh>
    <rPh sb="9" eb="10">
      <t>ワリ</t>
    </rPh>
    <rPh sb="10" eb="11">
      <t>リツ</t>
    </rPh>
    <rPh sb="12" eb="15">
      <t>キントウワ</t>
    </rPh>
    <rPh sb="15" eb="16">
      <t>ガク</t>
    </rPh>
    <phoneticPr fontId="5"/>
  </si>
  <si>
    <t>介護分</t>
    <rPh sb="0" eb="3">
      <t>カイゴブン</t>
    </rPh>
    <phoneticPr fontId="13"/>
  </si>
  <si>
    <t>介護分限度額、所得割率、均等割額</t>
    <rPh sb="0" eb="2">
      <t>カイゴ</t>
    </rPh>
    <rPh sb="2" eb="3">
      <t>ブン</t>
    </rPh>
    <rPh sb="3" eb="5">
      <t>ゲンド</t>
    </rPh>
    <rPh sb="5" eb="6">
      <t>ガク</t>
    </rPh>
    <rPh sb="7" eb="9">
      <t>ショトク</t>
    </rPh>
    <rPh sb="9" eb="10">
      <t>ワリ</t>
    </rPh>
    <rPh sb="10" eb="11">
      <t>リツ</t>
    </rPh>
    <rPh sb="12" eb="15">
      <t>キントウワ</t>
    </rPh>
    <rPh sb="15" eb="16">
      <t>ガク</t>
    </rPh>
    <phoneticPr fontId="5"/>
  </si>
  <si>
    <t>世帯合計</t>
    <rPh sb="0" eb="2">
      <t>セタイ</t>
    </rPh>
    <rPh sb="2" eb="3">
      <t>ゴウ</t>
    </rPh>
    <rPh sb="3" eb="4">
      <t>ケイ</t>
    </rPh>
    <phoneticPr fontId="5"/>
  </si>
  <si>
    <t>1ヶ月あたりの保険料（円）</t>
    <rPh sb="2" eb="3">
      <t>ゲツ</t>
    </rPh>
    <rPh sb="7" eb="10">
      <t>ホケンリョウ</t>
    </rPh>
    <rPh sb="11" eb="12">
      <t>エン</t>
    </rPh>
    <phoneticPr fontId="5"/>
  </si>
  <si>
    <t>非自発的失業者の給与所得減額率</t>
    <phoneticPr fontId="13"/>
  </si>
  <si>
    <t>【参考】</t>
    <rPh sb="1" eb="3">
      <t>サンコウ</t>
    </rPh>
    <phoneticPr fontId="13"/>
  </si>
  <si>
    <t>均等割軽減割合</t>
    <phoneticPr fontId="13"/>
  </si>
  <si>
    <t>軽減基準額</t>
    <phoneticPr fontId="13"/>
  </si>
  <si>
    <t>未就学児の均等割軽減割合</t>
    <rPh sb="0" eb="4">
      <t>ミシュウガクジ</t>
    </rPh>
    <rPh sb="5" eb="8">
      <t>キントウワリ</t>
    </rPh>
    <rPh sb="8" eb="12">
      <t>ケイゲンワリアイ</t>
    </rPh>
    <phoneticPr fontId="13"/>
  </si>
  <si>
    <t>未就学児：均等割 医療分</t>
    <rPh sb="0" eb="4">
      <t>ミシュウガクジ</t>
    </rPh>
    <rPh sb="5" eb="8">
      <t>キントウワ</t>
    </rPh>
    <rPh sb="9" eb="11">
      <t>イリョウ</t>
    </rPh>
    <rPh sb="11" eb="12">
      <t>ブン</t>
    </rPh>
    <phoneticPr fontId="13"/>
  </si>
  <si>
    <t>未就学児：均等割 支援分</t>
    <rPh sb="0" eb="4">
      <t>ミシュウガクジ</t>
    </rPh>
    <rPh sb="5" eb="8">
      <t>キントウワ</t>
    </rPh>
    <rPh sb="9" eb="11">
      <t>シエン</t>
    </rPh>
    <rPh sb="11" eb="12">
      <t>ブン</t>
    </rPh>
    <phoneticPr fontId="13"/>
  </si>
  <si>
    <t>軽減判定額</t>
    <rPh sb="0" eb="2">
      <t>ケイゲン</t>
    </rPh>
    <rPh sb="2" eb="4">
      <t>ハンテイ</t>
    </rPh>
    <rPh sb="4" eb="5">
      <t>ガク</t>
    </rPh>
    <phoneticPr fontId="13"/>
  </si>
  <si>
    <t>WORK</t>
    <phoneticPr fontId="2"/>
  </si>
  <si>
    <t>基礎控除</t>
    <rPh sb="0" eb="4">
      <t>キソコウジョ</t>
    </rPh>
    <phoneticPr fontId="13"/>
  </si>
  <si>
    <t>軽減判定所得計算時に、65歳以上の年金所得より控除する金額</t>
    <rPh sb="0" eb="2">
      <t>ケイゲン</t>
    </rPh>
    <rPh sb="2" eb="4">
      <t>ハンテイ</t>
    </rPh>
    <rPh sb="4" eb="6">
      <t>ショトク</t>
    </rPh>
    <rPh sb="6" eb="8">
      <t>ケイサン</t>
    </rPh>
    <rPh sb="8" eb="9">
      <t>ジ</t>
    </rPh>
    <rPh sb="13" eb="14">
      <t>サイ</t>
    </rPh>
    <rPh sb="14" eb="16">
      <t>イジョウ</t>
    </rPh>
    <rPh sb="17" eb="19">
      <t>ネンキン</t>
    </rPh>
    <rPh sb="19" eb="21">
      <t>ショトク</t>
    </rPh>
    <rPh sb="23" eb="25">
      <t>コウジョ</t>
    </rPh>
    <rPh sb="27" eb="29">
      <t>キンガク</t>
    </rPh>
    <phoneticPr fontId="13"/>
  </si>
  <si>
    <t>×給与所得者等の数-1　を軽減判定時に控除する金額</t>
    <rPh sb="1" eb="3">
      <t>キュウヨ</t>
    </rPh>
    <rPh sb="3" eb="5">
      <t>ショトク</t>
    </rPh>
    <rPh sb="5" eb="6">
      <t>シャ</t>
    </rPh>
    <rPh sb="6" eb="7">
      <t>トウ</t>
    </rPh>
    <rPh sb="8" eb="9">
      <t>カズ</t>
    </rPh>
    <rPh sb="13" eb="15">
      <t>ケイゲン</t>
    </rPh>
    <rPh sb="15" eb="17">
      <t>ハンテイ</t>
    </rPh>
    <rPh sb="17" eb="18">
      <t>ジ</t>
    </rPh>
    <rPh sb="19" eb="21">
      <t>コウジョ</t>
    </rPh>
    <rPh sb="23" eb="25">
      <t>キンガク</t>
    </rPh>
    <phoneticPr fontId="13"/>
  </si>
  <si>
    <t>作成日</t>
    <rPh sb="0" eb="3">
      <t>サクセイビ</t>
    </rPh>
    <phoneticPr fontId="5"/>
  </si>
  <si>
    <t>【公的年金等の所得計算】</t>
    <rPh sb="1" eb="6">
      <t>コウテキネンキントウ</t>
    </rPh>
    <rPh sb="7" eb="9">
      <t>ショトク</t>
    </rPh>
    <rPh sb="9" eb="11">
      <t>ケイサン</t>
    </rPh>
    <phoneticPr fontId="13"/>
  </si>
  <si>
    <t>選択</t>
    <rPh sb="0" eb="2">
      <t>センタク</t>
    </rPh>
    <phoneticPr fontId="13"/>
  </si>
  <si>
    <t>65歳未満</t>
    <rPh sb="2" eb="3">
      <t>サイ</t>
    </rPh>
    <rPh sb="3" eb="5">
      <t>ミマン</t>
    </rPh>
    <phoneticPr fontId="13"/>
  </si>
  <si>
    <t>年齢*</t>
    <rPh sb="0" eb="2">
      <t>ネンレイ</t>
    </rPh>
    <phoneticPr fontId="13"/>
  </si>
  <si>
    <t>公的年金等の収入金額</t>
    <rPh sb="0" eb="2">
      <t>コウテキ</t>
    </rPh>
    <rPh sb="2" eb="4">
      <t>ネンキン</t>
    </rPh>
    <rPh sb="4" eb="5">
      <t>トウ</t>
    </rPh>
    <rPh sb="6" eb="8">
      <t>シュウニュウ</t>
    </rPh>
    <rPh sb="8" eb="10">
      <t>キンガク</t>
    </rPh>
    <phoneticPr fontId="13"/>
  </si>
  <si>
    <t>65歳以上</t>
    <rPh sb="2" eb="3">
      <t>サイ</t>
    </rPh>
    <rPh sb="3" eb="5">
      <t>イジョウ</t>
    </rPh>
    <phoneticPr fontId="13"/>
  </si>
  <si>
    <t>公的年金等の所得金額</t>
    <rPh sb="0" eb="2">
      <t>コウテキ</t>
    </rPh>
    <rPh sb="2" eb="4">
      <t>ネンキン</t>
    </rPh>
    <rPh sb="4" eb="5">
      <t>トウ</t>
    </rPh>
    <rPh sb="6" eb="8">
      <t>ショトク</t>
    </rPh>
    <rPh sb="8" eb="10">
      <t>キンガク</t>
    </rPh>
    <phoneticPr fontId="13"/>
  </si>
  <si>
    <t>※公的年金等に係る雑所得以外の合計所得金額が1000万以下の場合で計算した所得金額です。</t>
    <rPh sb="26" eb="27">
      <t>マン</t>
    </rPh>
    <rPh sb="27" eb="29">
      <t>イカ</t>
    </rPh>
    <rPh sb="30" eb="32">
      <t>バアイ</t>
    </rPh>
    <rPh sb="33" eb="35">
      <t>ケイサン</t>
    </rPh>
    <rPh sb="37" eb="39">
      <t>ショトク</t>
    </rPh>
    <rPh sb="39" eb="41">
      <t>キンガク</t>
    </rPh>
    <phoneticPr fontId="13"/>
  </si>
  <si>
    <t>A×(b)-(c)</t>
    <phoneticPr fontId="13"/>
  </si>
  <si>
    <t>収入金額A</t>
    <rPh sb="0" eb="4">
      <t>シュウニュウキンガク</t>
    </rPh>
    <phoneticPr fontId="13"/>
  </si>
  <si>
    <t>(b)</t>
    <phoneticPr fontId="13"/>
  </si>
  <si>
    <t>(c)</t>
    <phoneticPr fontId="13"/>
  </si>
  <si>
    <t>注1）公的年金等収入が２か所以上ある場合は、合計金額を収入金額として計算してください。</t>
    <rPh sb="0" eb="1">
      <t>チュウ</t>
    </rPh>
    <rPh sb="3" eb="8">
      <t>コウテキネンキントウ</t>
    </rPh>
    <rPh sb="8" eb="10">
      <t>シュウニュウ</t>
    </rPh>
    <rPh sb="13" eb="14">
      <t>ショ</t>
    </rPh>
    <rPh sb="14" eb="16">
      <t>イジョウ</t>
    </rPh>
    <rPh sb="18" eb="20">
      <t>バアイ</t>
    </rPh>
    <rPh sb="22" eb="26">
      <t>ゴウケイキンガク</t>
    </rPh>
    <rPh sb="27" eb="31">
      <t>シュウニュウキンガク</t>
    </rPh>
    <rPh sb="34" eb="36">
      <t>ケイサン</t>
    </rPh>
    <phoneticPr fontId="13"/>
  </si>
  <si>
    <t>注2）公的年金等に係る雑所得以外の合計所得金額が1,000万より大きい場合は下記一覧をご参考に計算してください。</t>
    <rPh sb="0" eb="1">
      <t>チュウ</t>
    </rPh>
    <rPh sb="3" eb="5">
      <t>コウテキ</t>
    </rPh>
    <rPh sb="29" eb="30">
      <t>マン</t>
    </rPh>
    <rPh sb="32" eb="33">
      <t>オオ</t>
    </rPh>
    <rPh sb="35" eb="37">
      <t>バアイ</t>
    </rPh>
    <rPh sb="38" eb="40">
      <t>カキ</t>
    </rPh>
    <rPh sb="40" eb="42">
      <t>イチラン</t>
    </rPh>
    <rPh sb="44" eb="46">
      <t>サンコウ</t>
    </rPh>
    <rPh sb="47" eb="49">
      <t>ケイサン</t>
    </rPh>
    <phoneticPr fontId="13"/>
  </si>
  <si>
    <t>公的年金等に係る雑所得以外の合計所得金額</t>
    <rPh sb="0" eb="5">
      <t>コウテキネンキントウ</t>
    </rPh>
    <rPh sb="6" eb="7">
      <t>カカワ</t>
    </rPh>
    <rPh sb="8" eb="11">
      <t>ザツショトク</t>
    </rPh>
    <rPh sb="11" eb="13">
      <t>イガイ</t>
    </rPh>
    <rPh sb="14" eb="16">
      <t>ゴウケイ</t>
    </rPh>
    <rPh sb="16" eb="18">
      <t>ショトク</t>
    </rPh>
    <rPh sb="18" eb="20">
      <t>キンガク</t>
    </rPh>
    <phoneticPr fontId="13"/>
  </si>
  <si>
    <t>～10,000,000円</t>
    <phoneticPr fontId="13"/>
  </si>
  <si>
    <t>10,000,001円～20,000,000円</t>
    <phoneticPr fontId="13"/>
  </si>
  <si>
    <t>20,000,001円～</t>
    <phoneticPr fontId="13"/>
  </si>
  <si>
    <r>
      <t>公的年金等の収入金額</t>
    </r>
    <r>
      <rPr>
        <b/>
        <sz val="10"/>
        <color indexed="8"/>
        <rFont val="游ゴシック"/>
        <family val="3"/>
        <charset val="128"/>
      </rPr>
      <t>A</t>
    </r>
    <rPh sb="0" eb="4">
      <t>コウテキネンキン</t>
    </rPh>
    <rPh sb="4" eb="5">
      <t>トウ</t>
    </rPh>
    <rPh sb="6" eb="8">
      <t>シュウニュウ</t>
    </rPh>
    <rPh sb="8" eb="10">
      <t>キンガク</t>
    </rPh>
    <phoneticPr fontId="13"/>
  </si>
  <si>
    <t>0円～1,100,000円</t>
    <rPh sb="1" eb="2">
      <t>エン</t>
    </rPh>
    <rPh sb="12" eb="13">
      <t>エン</t>
    </rPh>
    <phoneticPr fontId="13"/>
  </si>
  <si>
    <t>1,100,001～3,299,999円</t>
    <rPh sb="19" eb="20">
      <t>エン</t>
    </rPh>
    <phoneticPr fontId="13"/>
  </si>
  <si>
    <r>
      <rPr>
        <b/>
        <sz val="11"/>
        <color indexed="8"/>
        <rFont val="游ゴシック"/>
        <family val="3"/>
        <charset val="128"/>
      </rPr>
      <t>A</t>
    </r>
    <r>
      <rPr>
        <sz val="11"/>
        <color theme="1"/>
        <rFont val="游ゴシック"/>
        <family val="2"/>
        <charset val="128"/>
        <scheme val="minor"/>
      </rPr>
      <t>－1,100,000円</t>
    </r>
    <rPh sb="11" eb="12">
      <t>エン</t>
    </rPh>
    <phoneticPr fontId="13"/>
  </si>
  <si>
    <r>
      <rPr>
        <b/>
        <sz val="11"/>
        <color indexed="8"/>
        <rFont val="游ゴシック"/>
        <family val="3"/>
        <charset val="128"/>
      </rPr>
      <t>A</t>
    </r>
    <r>
      <rPr>
        <sz val="11"/>
        <color theme="1"/>
        <rFont val="游ゴシック"/>
        <family val="2"/>
        <charset val="128"/>
        <scheme val="minor"/>
      </rPr>
      <t>－1,000,000円</t>
    </r>
    <rPh sb="11" eb="12">
      <t>エン</t>
    </rPh>
    <phoneticPr fontId="13"/>
  </si>
  <si>
    <r>
      <rPr>
        <b/>
        <sz val="11"/>
        <color indexed="8"/>
        <rFont val="游ゴシック"/>
        <family val="3"/>
        <charset val="128"/>
      </rPr>
      <t>A</t>
    </r>
    <r>
      <rPr>
        <sz val="11"/>
        <color theme="1"/>
        <rFont val="游ゴシック"/>
        <family val="2"/>
        <charset val="128"/>
        <scheme val="minor"/>
      </rPr>
      <t>－900,000円</t>
    </r>
    <rPh sb="9" eb="10">
      <t>エン</t>
    </rPh>
    <phoneticPr fontId="13"/>
  </si>
  <si>
    <t>3,300,000円～4,099,999円</t>
    <rPh sb="9" eb="10">
      <t>エン</t>
    </rPh>
    <rPh sb="20" eb="21">
      <t>エン</t>
    </rPh>
    <phoneticPr fontId="13"/>
  </si>
  <si>
    <r>
      <rPr>
        <b/>
        <sz val="11"/>
        <color indexed="8"/>
        <rFont val="游ゴシック"/>
        <family val="3"/>
        <charset val="128"/>
      </rPr>
      <t>A</t>
    </r>
    <r>
      <rPr>
        <sz val="11"/>
        <color theme="1"/>
        <rFont val="游ゴシック"/>
        <family val="2"/>
        <charset val="128"/>
        <scheme val="minor"/>
      </rPr>
      <t>×0.75－275,000円</t>
    </r>
    <rPh sb="14" eb="15">
      <t>エン</t>
    </rPh>
    <phoneticPr fontId="13"/>
  </si>
  <si>
    <r>
      <rPr>
        <b/>
        <sz val="11"/>
        <color indexed="8"/>
        <rFont val="游ゴシック"/>
        <family val="3"/>
        <charset val="128"/>
      </rPr>
      <t>A</t>
    </r>
    <r>
      <rPr>
        <sz val="11"/>
        <color theme="1"/>
        <rFont val="游ゴシック"/>
        <family val="2"/>
        <charset val="128"/>
        <scheme val="minor"/>
      </rPr>
      <t>×0.75－175,000円</t>
    </r>
    <rPh sb="14" eb="15">
      <t>エン</t>
    </rPh>
    <phoneticPr fontId="13"/>
  </si>
  <si>
    <r>
      <rPr>
        <b/>
        <sz val="11"/>
        <color indexed="8"/>
        <rFont val="游ゴシック"/>
        <family val="3"/>
        <charset val="128"/>
      </rPr>
      <t>A</t>
    </r>
    <r>
      <rPr>
        <sz val="11"/>
        <color theme="1"/>
        <rFont val="游ゴシック"/>
        <family val="2"/>
        <charset val="128"/>
        <scheme val="minor"/>
      </rPr>
      <t>×0.75－75,000円</t>
    </r>
    <rPh sb="13" eb="14">
      <t>エン</t>
    </rPh>
    <phoneticPr fontId="13"/>
  </si>
  <si>
    <t>4,100,000円～7,699,999円</t>
    <rPh sb="9" eb="10">
      <t>エン</t>
    </rPh>
    <rPh sb="20" eb="21">
      <t>エン</t>
    </rPh>
    <phoneticPr fontId="13"/>
  </si>
  <si>
    <r>
      <rPr>
        <b/>
        <sz val="11"/>
        <color indexed="8"/>
        <rFont val="游ゴシック"/>
        <family val="3"/>
        <charset val="128"/>
      </rPr>
      <t>A</t>
    </r>
    <r>
      <rPr>
        <sz val="11"/>
        <color theme="1"/>
        <rFont val="游ゴシック"/>
        <family val="2"/>
        <charset val="128"/>
        <scheme val="minor"/>
      </rPr>
      <t>×0.85－685,000円</t>
    </r>
    <rPh sb="14" eb="15">
      <t>エン</t>
    </rPh>
    <phoneticPr fontId="13"/>
  </si>
  <si>
    <r>
      <rPr>
        <b/>
        <sz val="11"/>
        <color indexed="8"/>
        <rFont val="游ゴシック"/>
        <family val="3"/>
        <charset val="128"/>
      </rPr>
      <t>A</t>
    </r>
    <r>
      <rPr>
        <sz val="11"/>
        <color theme="1"/>
        <rFont val="游ゴシック"/>
        <family val="2"/>
        <charset val="128"/>
        <scheme val="minor"/>
      </rPr>
      <t>×0.85－585,000円</t>
    </r>
    <rPh sb="14" eb="15">
      <t>エン</t>
    </rPh>
    <phoneticPr fontId="13"/>
  </si>
  <si>
    <r>
      <rPr>
        <b/>
        <sz val="11"/>
        <color indexed="8"/>
        <rFont val="游ゴシック"/>
        <family val="3"/>
        <charset val="128"/>
      </rPr>
      <t>A</t>
    </r>
    <r>
      <rPr>
        <sz val="11"/>
        <color theme="1"/>
        <rFont val="游ゴシック"/>
        <family val="2"/>
        <charset val="128"/>
        <scheme val="minor"/>
      </rPr>
      <t>×0.85－485,000円</t>
    </r>
    <rPh sb="14" eb="15">
      <t>エン</t>
    </rPh>
    <phoneticPr fontId="13"/>
  </si>
  <si>
    <t>7,700,000円～9,999,999円</t>
    <rPh sb="9" eb="10">
      <t>エン</t>
    </rPh>
    <rPh sb="20" eb="21">
      <t>エン</t>
    </rPh>
    <phoneticPr fontId="13"/>
  </si>
  <si>
    <r>
      <rPr>
        <b/>
        <sz val="11"/>
        <color indexed="8"/>
        <rFont val="游ゴシック"/>
        <family val="3"/>
        <charset val="128"/>
      </rPr>
      <t>A</t>
    </r>
    <r>
      <rPr>
        <sz val="11"/>
        <color theme="1"/>
        <rFont val="游ゴシック"/>
        <family val="2"/>
        <charset val="128"/>
        <scheme val="minor"/>
      </rPr>
      <t>×0.95－1,455,000円</t>
    </r>
    <rPh sb="16" eb="17">
      <t>エン</t>
    </rPh>
    <phoneticPr fontId="13"/>
  </si>
  <si>
    <r>
      <rPr>
        <b/>
        <sz val="11"/>
        <color indexed="8"/>
        <rFont val="游ゴシック"/>
        <family val="3"/>
        <charset val="128"/>
      </rPr>
      <t>A</t>
    </r>
    <r>
      <rPr>
        <sz val="11"/>
        <color theme="1"/>
        <rFont val="游ゴシック"/>
        <family val="2"/>
        <charset val="128"/>
        <scheme val="minor"/>
      </rPr>
      <t>×0.95－1,355,000円</t>
    </r>
    <rPh sb="16" eb="17">
      <t>エン</t>
    </rPh>
    <phoneticPr fontId="13"/>
  </si>
  <si>
    <r>
      <rPr>
        <b/>
        <sz val="11"/>
        <color indexed="8"/>
        <rFont val="游ゴシック"/>
        <family val="3"/>
        <charset val="128"/>
      </rPr>
      <t>A</t>
    </r>
    <r>
      <rPr>
        <sz val="11"/>
        <color theme="1"/>
        <rFont val="游ゴシック"/>
        <family val="2"/>
        <charset val="128"/>
        <scheme val="minor"/>
      </rPr>
      <t>×0.95－1,255,000円</t>
    </r>
    <rPh sb="16" eb="17">
      <t>エン</t>
    </rPh>
    <phoneticPr fontId="13"/>
  </si>
  <si>
    <t>10,000,000円～</t>
    <rPh sb="10" eb="11">
      <t>エン</t>
    </rPh>
    <phoneticPr fontId="13"/>
  </si>
  <si>
    <r>
      <rPr>
        <b/>
        <sz val="11"/>
        <color indexed="8"/>
        <rFont val="游ゴシック"/>
        <family val="3"/>
        <charset val="128"/>
      </rPr>
      <t>A－</t>
    </r>
    <r>
      <rPr>
        <sz val="11"/>
        <color theme="1"/>
        <rFont val="游ゴシック"/>
        <family val="2"/>
        <charset val="128"/>
        <scheme val="minor"/>
      </rPr>
      <t>1,955,000</t>
    </r>
    <phoneticPr fontId="13"/>
  </si>
  <si>
    <r>
      <rPr>
        <b/>
        <sz val="11"/>
        <color indexed="8"/>
        <rFont val="游ゴシック"/>
        <family val="3"/>
        <charset val="128"/>
      </rPr>
      <t>A－</t>
    </r>
    <r>
      <rPr>
        <sz val="11"/>
        <color theme="1"/>
        <rFont val="游ゴシック"/>
        <family val="2"/>
        <charset val="128"/>
        <scheme val="minor"/>
      </rPr>
      <t>1,855,000</t>
    </r>
    <phoneticPr fontId="13"/>
  </si>
  <si>
    <r>
      <rPr>
        <b/>
        <sz val="11"/>
        <color indexed="8"/>
        <rFont val="游ゴシック"/>
        <family val="3"/>
        <charset val="128"/>
      </rPr>
      <t>A－</t>
    </r>
    <r>
      <rPr>
        <sz val="11"/>
        <color theme="1"/>
        <rFont val="游ゴシック"/>
        <family val="2"/>
        <charset val="128"/>
        <scheme val="minor"/>
      </rPr>
      <t>1,755,000円</t>
    </r>
    <rPh sb="11" eb="12">
      <t>エン</t>
    </rPh>
    <phoneticPr fontId="13"/>
  </si>
  <si>
    <t>0円～600,000円</t>
    <rPh sb="1" eb="2">
      <t>エン</t>
    </rPh>
    <rPh sb="10" eb="11">
      <t>エン</t>
    </rPh>
    <phoneticPr fontId="13"/>
  </si>
  <si>
    <t>600,001～1,299,999円</t>
    <rPh sb="17" eb="18">
      <t>エン</t>
    </rPh>
    <phoneticPr fontId="13"/>
  </si>
  <si>
    <r>
      <rPr>
        <b/>
        <sz val="11"/>
        <color indexed="8"/>
        <rFont val="游ゴシック"/>
        <family val="3"/>
        <charset val="128"/>
      </rPr>
      <t>A</t>
    </r>
    <r>
      <rPr>
        <sz val="11"/>
        <color theme="1"/>
        <rFont val="游ゴシック"/>
        <family val="2"/>
        <charset val="128"/>
        <scheme val="minor"/>
      </rPr>
      <t>-600,000円</t>
    </r>
    <rPh sb="9" eb="10">
      <t>エン</t>
    </rPh>
    <phoneticPr fontId="13"/>
  </si>
  <si>
    <r>
      <rPr>
        <b/>
        <sz val="11"/>
        <color indexed="8"/>
        <rFont val="游ゴシック"/>
        <family val="3"/>
        <charset val="128"/>
      </rPr>
      <t>A</t>
    </r>
    <r>
      <rPr>
        <sz val="11"/>
        <color theme="1"/>
        <rFont val="游ゴシック"/>
        <family val="2"/>
        <charset val="128"/>
        <scheme val="minor"/>
      </rPr>
      <t>-500,000円</t>
    </r>
    <rPh sb="9" eb="10">
      <t>エン</t>
    </rPh>
    <phoneticPr fontId="13"/>
  </si>
  <si>
    <r>
      <rPr>
        <b/>
        <sz val="11"/>
        <color indexed="8"/>
        <rFont val="游ゴシック"/>
        <family val="3"/>
        <charset val="128"/>
      </rPr>
      <t>A</t>
    </r>
    <r>
      <rPr>
        <sz val="11"/>
        <color theme="1"/>
        <rFont val="游ゴシック"/>
        <family val="2"/>
        <charset val="128"/>
        <scheme val="minor"/>
      </rPr>
      <t>-400,000円</t>
    </r>
    <rPh sb="9" eb="10">
      <t>エン</t>
    </rPh>
    <phoneticPr fontId="13"/>
  </si>
  <si>
    <t>1,300,000円～4,099,999円</t>
    <rPh sb="9" eb="10">
      <t>エン</t>
    </rPh>
    <rPh sb="20" eb="21">
      <t>エン</t>
    </rPh>
    <phoneticPr fontId="13"/>
  </si>
  <si>
    <t>以上</t>
    <rPh sb="0" eb="2">
      <t>イジョウ</t>
    </rPh>
    <phoneticPr fontId="5"/>
  </si>
  <si>
    <t>以下</t>
    <rPh sb="0" eb="2">
      <t>イカ</t>
    </rPh>
    <phoneticPr fontId="5"/>
  </si>
  <si>
    <t>給与所得金額</t>
    <rPh sb="0" eb="6">
      <t>キュウヨショトクキンガク</t>
    </rPh>
    <phoneticPr fontId="5"/>
  </si>
  <si>
    <t>収入額→</t>
    <rPh sb="0" eb="3">
      <t>シュウニュウガク</t>
    </rPh>
    <phoneticPr fontId="5"/>
  </si>
  <si>
    <t>給与所得額→</t>
    <rPh sb="0" eb="4">
      <t>キュウヨショトク</t>
    </rPh>
    <rPh sb="4" eb="5">
      <t>ガク</t>
    </rPh>
    <phoneticPr fontId="5"/>
  </si>
  <si>
    <t>その他</t>
    <rPh sb="2" eb="3">
      <t>タ</t>
    </rPh>
    <phoneticPr fontId="15"/>
  </si>
  <si>
    <t>加入しない</t>
    <rPh sb="0" eb="2">
      <t>カニュウ</t>
    </rPh>
    <phoneticPr fontId="15"/>
  </si>
  <si>
    <r>
      <t>18歳</t>
    </r>
    <r>
      <rPr>
        <vertAlign val="superscript"/>
        <sz val="11"/>
        <color indexed="8"/>
        <rFont val="游ゴシック"/>
        <family val="3"/>
        <charset val="128"/>
      </rPr>
      <t>※</t>
    </r>
    <r>
      <rPr>
        <sz val="11"/>
        <color theme="1"/>
        <rFont val="游ゴシック"/>
        <family val="2"/>
        <charset val="128"/>
        <scheme val="minor"/>
      </rPr>
      <t>～39歳</t>
    </r>
    <rPh sb="2" eb="3">
      <t>サイ</t>
    </rPh>
    <rPh sb="7" eb="8">
      <t>サイ</t>
    </rPh>
    <phoneticPr fontId="5"/>
  </si>
  <si>
    <r>
      <t>6歳</t>
    </r>
    <r>
      <rPr>
        <vertAlign val="superscript"/>
        <sz val="11"/>
        <color indexed="8"/>
        <rFont val="游ゴシック"/>
        <family val="3"/>
        <charset val="128"/>
      </rPr>
      <t>※</t>
    </r>
    <r>
      <rPr>
        <sz val="11"/>
        <color theme="1"/>
        <rFont val="游ゴシック"/>
        <family val="2"/>
        <charset val="128"/>
        <scheme val="minor"/>
      </rPr>
      <t>～18歳</t>
    </r>
    <rPh sb="1" eb="2">
      <t>サイ</t>
    </rPh>
    <rPh sb="6" eb="7">
      <t>サイ</t>
    </rPh>
    <phoneticPr fontId="5"/>
  </si>
  <si>
    <t>子ども分</t>
    <rPh sb="0" eb="1">
      <t>コ</t>
    </rPh>
    <rPh sb="3" eb="4">
      <t>ブン</t>
    </rPh>
    <phoneticPr fontId="13"/>
  </si>
  <si>
    <t>子ども分限度額、所得割率、均等割額</t>
    <rPh sb="0" eb="1">
      <t>コ</t>
    </rPh>
    <rPh sb="3" eb="4">
      <t>ブン</t>
    </rPh>
    <rPh sb="4" eb="6">
      <t>ゲンド</t>
    </rPh>
    <rPh sb="6" eb="7">
      <t>ガク</t>
    </rPh>
    <rPh sb="8" eb="10">
      <t>ショトク</t>
    </rPh>
    <rPh sb="10" eb="11">
      <t>ワリ</t>
    </rPh>
    <rPh sb="11" eb="12">
      <t>リツ</t>
    </rPh>
    <rPh sb="13" eb="16">
      <t>キントウワ</t>
    </rPh>
    <rPh sb="16" eb="17">
      <t>ガク</t>
    </rPh>
    <phoneticPr fontId="5"/>
  </si>
  <si>
    <t>年齢</t>
  </si>
  <si>
    <t>年齢</t>
    <phoneticPr fontId="2"/>
  </si>
  <si>
    <t>令和8年度 渋谷区国民健康保険料試算シート</t>
    <rPh sb="0" eb="2">
      <t>レイワ</t>
    </rPh>
    <rPh sb="3" eb="5">
      <t>ネンド</t>
    </rPh>
    <rPh sb="4" eb="5">
      <t>ド</t>
    </rPh>
    <rPh sb="6" eb="9">
      <t>シブヤク</t>
    </rPh>
    <rPh sb="9" eb="11">
      <t>コクミン</t>
    </rPh>
    <rPh sb="11" eb="13">
      <t>ケンコウ</t>
    </rPh>
    <rPh sb="13" eb="16">
      <t>ホケンリョウ</t>
    </rPh>
    <rPh sb="16" eb="18">
      <t>シサン</t>
    </rPh>
    <phoneticPr fontId="5"/>
  </si>
  <si>
    <t>年齢（令和８年１月１日現在）</t>
    <rPh sb="0" eb="2">
      <t>ネンレイ</t>
    </rPh>
    <phoneticPr fontId="13"/>
  </si>
  <si>
    <t>※令和７年分「公的年金等の源泉徴収票」の「支払金額」を入力してください。</t>
    <rPh sb="1" eb="3">
      <t>レイワ</t>
    </rPh>
    <rPh sb="4" eb="5">
      <t>ネン</t>
    </rPh>
    <rPh sb="5" eb="6">
      <t>ブン</t>
    </rPh>
    <rPh sb="7" eb="11">
      <t>コウテキネンキン</t>
    </rPh>
    <rPh sb="11" eb="12">
      <t>トウ</t>
    </rPh>
    <rPh sb="13" eb="18">
      <t>ゲンセンチョウシュウヒョウ</t>
    </rPh>
    <rPh sb="21" eb="23">
      <t>シハラ</t>
    </rPh>
    <rPh sb="23" eb="25">
      <t>キンガク</t>
    </rPh>
    <rPh sb="27" eb="29">
      <t>ニュウリョク</t>
    </rPh>
    <phoneticPr fontId="13"/>
  </si>
  <si>
    <t>６５歳以上（令和８年１月１日現在）</t>
    <rPh sb="2" eb="3">
      <t>サイ</t>
    </rPh>
    <rPh sb="3" eb="5">
      <t>イジョウ</t>
    </rPh>
    <phoneticPr fontId="13"/>
  </si>
  <si>
    <t>６５歳未満（令和８年１月１日現在）</t>
    <rPh sb="2" eb="3">
      <t>サイ</t>
    </rPh>
    <rPh sb="3" eb="5">
      <t>ミマン</t>
    </rPh>
    <phoneticPr fontId="13"/>
  </si>
  <si>
    <t>給与収入（円）</t>
    <rPh sb="0" eb="2">
      <t>キュウヨ</t>
    </rPh>
    <rPh sb="2" eb="4">
      <t>シュウニュウ</t>
    </rPh>
    <rPh sb="5" eb="6">
      <t>エン</t>
    </rPh>
    <phoneticPr fontId="5"/>
  </si>
  <si>
    <t>×給与所得ありとする基準額</t>
    <rPh sb="1" eb="3">
      <t>キュウヨ</t>
    </rPh>
    <rPh sb="3" eb="5">
      <t>ショトク</t>
    </rPh>
    <rPh sb="10" eb="12">
      <t>キジュン</t>
    </rPh>
    <rPh sb="12" eb="13">
      <t>ガク</t>
    </rPh>
    <phoneticPr fontId="13"/>
  </si>
  <si>
    <t>非表示シート</t>
    <rPh sb="0" eb="3">
      <t>ヒヒョウジ</t>
    </rPh>
    <phoneticPr fontId="2"/>
  </si>
  <si>
    <r>
      <t>保険料計算用
給与所得（円）</t>
    </r>
    <r>
      <rPr>
        <sz val="10"/>
        <color indexed="10"/>
        <rFont val="游ゴシック"/>
        <family val="3"/>
        <charset val="128"/>
      </rPr>
      <t>A</t>
    </r>
    <r>
      <rPr>
        <sz val="10"/>
        <color indexed="8"/>
        <rFont val="游ゴシック"/>
        <family val="3"/>
        <charset val="128"/>
      </rPr>
      <t xml:space="preserve">
※会社都合退職は
給与所得の30％</t>
    </r>
    <rPh sb="0" eb="3">
      <t>ホケンリョウ</t>
    </rPh>
    <rPh sb="3" eb="5">
      <t>ケイサン</t>
    </rPh>
    <rPh sb="5" eb="6">
      <t>ヨウ</t>
    </rPh>
    <rPh sb="7" eb="9">
      <t>キュウヨ</t>
    </rPh>
    <rPh sb="9" eb="11">
      <t>ショトク</t>
    </rPh>
    <rPh sb="17" eb="19">
      <t>カイシャ</t>
    </rPh>
    <rPh sb="19" eb="21">
      <t>ツゴウ</t>
    </rPh>
    <rPh sb="21" eb="23">
      <t>タイショク</t>
    </rPh>
    <rPh sb="25" eb="27">
      <t>キュウヨ</t>
    </rPh>
    <rPh sb="27" eb="29">
      <t>ショトク</t>
    </rPh>
    <phoneticPr fontId="5"/>
  </si>
  <si>
    <t>軽減判定用
年金所得</t>
    <rPh sb="0" eb="2">
      <t>ケイゲン</t>
    </rPh>
    <rPh sb="2" eb="5">
      <t>ハンテイヨウ</t>
    </rPh>
    <rPh sb="6" eb="8">
      <t>ネンキン</t>
    </rPh>
    <rPh sb="8" eb="10">
      <t>ショトク</t>
    </rPh>
    <phoneticPr fontId="5"/>
  </si>
  <si>
    <t>・全ての所得欄を入力してください。対象所得が０円の場合でも０と入力してください。（加入者３）</t>
    <phoneticPr fontId="5"/>
  </si>
  <si>
    <r>
      <t>その他所得（円）</t>
    </r>
    <r>
      <rPr>
        <sz val="10"/>
        <color indexed="10"/>
        <rFont val="游ゴシック"/>
        <family val="3"/>
        <charset val="128"/>
        <scheme val="minor"/>
      </rPr>
      <t xml:space="preserve">C
</t>
    </r>
    <r>
      <rPr>
        <sz val="9"/>
        <rFont val="游ゴシック"/>
        <family val="3"/>
        <charset val="128"/>
        <scheme val="minor"/>
      </rPr>
      <t>※保険料試算ページ
注意事項5番を参照</t>
    </r>
    <rPh sb="2" eb="3">
      <t>タ</t>
    </rPh>
    <rPh sb="3" eb="5">
      <t>ショトク</t>
    </rPh>
    <rPh sb="11" eb="14">
      <t>ホケンリョウ</t>
    </rPh>
    <rPh sb="14" eb="16">
      <t>シサン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</si>
</sst>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00_ "/>
    <numFmt numFmtId="178" formatCode="#,##0_ ;[Red]\-#,##0\ "/>
    <numFmt numFmtId="179" formatCode="0_ "/>
    <numFmt numFmtId="180" formatCode="#,##0_);[Red]\(#,##0\)"/>
    <numFmt numFmtId="181" formatCode="[$-F800]dddd\,\ mmmm\ dd\,\ yyyy"/>
    <numFmt numFmtId="182" formatCode="[$-411]ggge&quot;年&quot;m&quot;月&quot;d&quot;日&quot;;@"/>
    <numFmt numFmtId="183" formatCode="#,##0&quot;円&quot;"/>
  </numFmts>
  <fonts count="37">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8"/>
      <color theme="1"/>
      <name val="游ゴシック"/>
      <family val="3"/>
      <charset val="128"/>
      <scheme val="minor"/>
    </font>
    <font>
      <sz val="6"/>
      <name val="ＭＳ Ｐゴシック"/>
      <family val="3"/>
      <charset val="128"/>
    </font>
    <font>
      <b/>
      <sz val="11"/>
      <color theme="1"/>
      <name val="游ゴシック"/>
      <family val="3"/>
      <charset val="128"/>
      <scheme val="minor"/>
    </font>
    <font>
      <sz val="10"/>
      <color theme="1"/>
      <name val="游ゴシック"/>
      <family val="3"/>
      <charset val="128"/>
      <scheme val="minor"/>
    </font>
    <font>
      <sz val="10"/>
      <color indexed="10"/>
      <name val="游ゴシック"/>
      <family val="3"/>
      <charset val="128"/>
    </font>
    <font>
      <sz val="10"/>
      <color indexed="8"/>
      <name val="游ゴシック"/>
      <family val="3"/>
      <charset val="128"/>
    </font>
    <font>
      <sz val="11"/>
      <color indexed="10"/>
      <name val="ＭＳ Ｐゴシック"/>
      <family val="3"/>
      <charset val="128"/>
    </font>
    <font>
      <sz val="10"/>
      <color indexed="10"/>
      <name val="ＭＳ Ｐゴシック"/>
      <family val="3"/>
      <charset val="128"/>
    </font>
    <font>
      <sz val="10"/>
      <name val="ＭＳ Ｐゴシック"/>
      <family val="3"/>
      <charset val="128"/>
    </font>
    <font>
      <sz val="6"/>
      <name val="游ゴシック"/>
      <family val="3"/>
      <charset val="128"/>
    </font>
    <font>
      <sz val="9"/>
      <color theme="1"/>
      <name val="游ゴシック"/>
      <family val="3"/>
      <charset val="128"/>
      <scheme val="minor"/>
    </font>
    <font>
      <sz val="6"/>
      <name val="游ゴシック"/>
      <family val="3"/>
      <charset val="128"/>
      <scheme val="minor"/>
    </font>
    <font>
      <vertAlign val="superscript"/>
      <sz val="11"/>
      <color indexed="8"/>
      <name val="游ゴシック"/>
      <family val="3"/>
      <charset val="128"/>
    </font>
    <font>
      <sz val="10"/>
      <color rgb="FFFF0000"/>
      <name val="游ゴシック"/>
      <family val="3"/>
      <charset val="128"/>
      <scheme val="minor"/>
    </font>
    <font>
      <sz val="10"/>
      <color theme="1"/>
      <name val="ＭＳ Ｐゴシック"/>
      <family val="3"/>
      <charset val="128"/>
    </font>
    <font>
      <b/>
      <sz val="11"/>
      <color rgb="FFFF0000"/>
      <name val="游ゴシック"/>
      <family val="3"/>
      <charset val="128"/>
      <scheme val="minor"/>
    </font>
    <font>
      <b/>
      <sz val="16"/>
      <color rgb="FFFF0000"/>
      <name val="游ゴシック"/>
      <family val="3"/>
      <charset val="128"/>
      <scheme val="minor"/>
    </font>
    <font>
      <sz val="8"/>
      <color theme="1"/>
      <name val="游ゴシック"/>
      <family val="3"/>
      <charset val="128"/>
      <scheme val="minor"/>
    </font>
    <font>
      <sz val="8.5"/>
      <color theme="1"/>
      <name val="游ゴシック"/>
      <family val="3"/>
      <charset val="128"/>
      <scheme val="minor"/>
    </font>
    <font>
      <b/>
      <sz val="9"/>
      <color indexed="81"/>
      <name val="MS P ゴシック"/>
      <family val="3"/>
      <charset val="128"/>
    </font>
    <font>
      <sz val="11"/>
      <color indexed="81"/>
      <name val="MS P ゴシック"/>
      <family val="3"/>
      <charset val="128"/>
    </font>
    <font>
      <sz val="9"/>
      <color indexed="81"/>
      <name val="MS P ゴシック"/>
      <family val="3"/>
      <charset val="128"/>
    </font>
    <font>
      <b/>
      <sz val="16"/>
      <color theme="1"/>
      <name val="游ゴシック"/>
      <family val="3"/>
      <charset val="128"/>
      <scheme val="minor"/>
    </font>
    <font>
      <b/>
      <sz val="12"/>
      <color theme="1"/>
      <name val="游ゴシック"/>
      <family val="3"/>
      <charset val="128"/>
      <scheme val="minor"/>
    </font>
    <font>
      <sz val="14"/>
      <color theme="1"/>
      <name val="游ゴシック"/>
      <family val="3"/>
      <charset val="128"/>
      <scheme val="minor"/>
    </font>
    <font>
      <sz val="12"/>
      <color theme="1"/>
      <name val="游ゴシック"/>
      <family val="3"/>
      <charset val="128"/>
      <scheme val="minor"/>
    </font>
    <font>
      <b/>
      <sz val="10"/>
      <color indexed="8"/>
      <name val="游ゴシック"/>
      <family val="3"/>
      <charset val="128"/>
    </font>
    <font>
      <b/>
      <sz val="11"/>
      <color indexed="8"/>
      <name val="游ゴシック"/>
      <family val="3"/>
      <charset val="128"/>
    </font>
    <font>
      <sz val="16"/>
      <color theme="1"/>
      <name val="ＭＳ Ｐゴシック"/>
      <family val="3"/>
      <charset val="128"/>
    </font>
    <font>
      <b/>
      <sz val="14"/>
      <color theme="1"/>
      <name val="游ゴシック"/>
      <family val="3"/>
      <charset val="128"/>
      <scheme val="minor"/>
    </font>
    <font>
      <sz val="11"/>
      <name val="游ゴシック"/>
      <family val="3"/>
      <charset val="128"/>
      <scheme val="minor"/>
    </font>
    <font>
      <sz val="10"/>
      <color indexed="10"/>
      <name val="游ゴシック"/>
      <family val="3"/>
      <charset val="128"/>
      <scheme val="minor"/>
    </font>
    <font>
      <sz val="9"/>
      <name val="游ゴシック"/>
      <family val="3"/>
      <charset val="128"/>
      <scheme val="minor"/>
    </font>
  </fonts>
  <fills count="21">
    <fill>
      <patternFill patternType="none"/>
    </fill>
    <fill>
      <patternFill patternType="gray125"/>
    </fill>
    <fill>
      <patternFill patternType="solid">
        <fgColor rgb="FF92D050"/>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rgb="FFFFFF66"/>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theme="4" tint="0.39997558519241921"/>
        <bgColor indexed="64"/>
      </patternFill>
    </fill>
    <fill>
      <patternFill patternType="solid">
        <fgColor theme="8" tint="0.39994506668294322"/>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rgb="FFCCFFFF"/>
        <bgColor indexed="64"/>
      </patternFill>
    </fill>
    <fill>
      <patternFill patternType="solid">
        <fgColor theme="7" tint="0.39997558519241921"/>
        <bgColor indexed="64"/>
      </patternFill>
    </fill>
    <fill>
      <patternFill patternType="solid">
        <fgColor theme="9" tint="0.39997558519241921"/>
        <bgColor indexed="64"/>
      </patternFill>
    </fill>
  </fills>
  <borders count="51">
    <border>
      <left/>
      <right/>
      <top/>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thick">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style="thick">
        <color indexed="64"/>
      </left>
      <right style="thick">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ck">
        <color indexed="64"/>
      </left>
      <right style="thick">
        <color indexed="64"/>
      </right>
      <top style="thin">
        <color indexed="64"/>
      </top>
      <bottom style="thick">
        <color indexed="64"/>
      </bottom>
      <diagonal/>
    </border>
    <border>
      <left style="thin">
        <color indexed="64"/>
      </left>
      <right style="thin">
        <color indexed="64"/>
      </right>
      <top style="hair">
        <color indexed="64"/>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rgb="FF000000"/>
      </left>
      <right style="thin">
        <color indexed="64"/>
      </right>
      <top style="thin">
        <color indexed="64"/>
      </top>
      <bottom style="thin">
        <color indexed="64"/>
      </bottom>
      <diagonal/>
    </border>
    <border>
      <left style="thick">
        <color rgb="FF000000"/>
      </left>
      <right style="thick">
        <color rgb="FF000000"/>
      </right>
      <top style="thick">
        <color rgb="FF000000"/>
      </top>
      <bottom style="thin">
        <color rgb="FF000000"/>
      </bottom>
      <diagonal/>
    </border>
    <border>
      <left style="thick">
        <color rgb="FF000000"/>
      </left>
      <right style="thick">
        <color rgb="FF000000"/>
      </right>
      <top style="thin">
        <color rgb="FF000000"/>
      </top>
      <bottom style="thin">
        <color rgb="FF000000"/>
      </bottom>
      <diagonal/>
    </border>
    <border>
      <left style="thick">
        <color rgb="FF000000"/>
      </left>
      <right style="thick">
        <color rgb="FF000000"/>
      </right>
      <top style="thin">
        <color rgb="FF000000"/>
      </top>
      <bottom style="thick">
        <color rgb="FF000000"/>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cellStyleXfs>
  <cellXfs count="227">
    <xf numFmtId="0" fontId="0" fillId="0" borderId="0" xfId="0">
      <alignment vertical="center"/>
    </xf>
    <xf numFmtId="38" fontId="4" fillId="0" borderId="0" xfId="1" applyFont="1">
      <alignment vertical="center"/>
    </xf>
    <xf numFmtId="176" fontId="0" fillId="0" borderId="0" xfId="0" applyNumberFormat="1">
      <alignment vertical="center"/>
    </xf>
    <xf numFmtId="38" fontId="3" fillId="0" borderId="0" xfId="1" applyFont="1">
      <alignment vertical="center"/>
    </xf>
    <xf numFmtId="0" fontId="6" fillId="0" borderId="0" xfId="0" applyFont="1">
      <alignment vertical="center"/>
    </xf>
    <xf numFmtId="177" fontId="0" fillId="0" borderId="0" xfId="0" applyNumberFormat="1">
      <alignment vertical="center"/>
    </xf>
    <xf numFmtId="0" fontId="0" fillId="0" borderId="1" xfId="0" applyBorder="1" applyAlignment="1">
      <alignment horizontal="center" vertical="center"/>
    </xf>
    <xf numFmtId="0" fontId="0" fillId="0" borderId="2" xfId="0" applyBorder="1" applyAlignment="1">
      <alignment horizontal="center" vertical="center"/>
    </xf>
    <xf numFmtId="38" fontId="3" fillId="2" borderId="3" xfId="1" applyFont="1" applyFill="1" applyBorder="1" applyAlignment="1">
      <alignment horizontal="center" vertical="center"/>
    </xf>
    <xf numFmtId="38" fontId="7" fillId="2" borderId="4" xfId="1" applyFont="1" applyFill="1" applyBorder="1" applyAlignment="1">
      <alignment horizontal="center" vertical="center" wrapText="1"/>
    </xf>
    <xf numFmtId="38" fontId="3" fillId="2" borderId="3" xfId="1" applyFont="1" applyFill="1" applyBorder="1" applyAlignment="1">
      <alignment horizontal="center" vertical="center" wrapText="1"/>
    </xf>
    <xf numFmtId="38" fontId="3" fillId="2" borderId="4" xfId="1" applyFont="1" applyFill="1" applyBorder="1" applyAlignment="1">
      <alignment horizontal="center" vertical="center" wrapText="1"/>
    </xf>
    <xf numFmtId="38" fontId="7" fillId="2" borderId="3" xfId="1" applyFont="1" applyFill="1" applyBorder="1" applyAlignment="1">
      <alignment horizontal="center" vertical="center" wrapText="1"/>
    </xf>
    <xf numFmtId="0" fontId="7" fillId="2" borderId="4" xfId="1" applyNumberFormat="1" applyFont="1" applyFill="1" applyBorder="1" applyAlignment="1">
      <alignment horizontal="center" vertical="center" wrapText="1" shrinkToFit="1"/>
    </xf>
    <xf numFmtId="38" fontId="0" fillId="2" borderId="3" xfId="1" applyFont="1" applyFill="1" applyBorder="1" applyAlignment="1">
      <alignment horizontal="center" vertical="center" wrapText="1"/>
    </xf>
    <xf numFmtId="38" fontId="3" fillId="3" borderId="4" xfId="1" applyFont="1" applyFill="1" applyBorder="1" applyAlignment="1">
      <alignment horizontal="center" vertical="center"/>
    </xf>
    <xf numFmtId="0" fontId="0" fillId="4" borderId="4" xfId="0" applyFill="1" applyBorder="1" applyAlignment="1">
      <alignment horizontal="center" vertical="center" wrapText="1"/>
    </xf>
    <xf numFmtId="0" fontId="14" fillId="4" borderId="4" xfId="0" applyFont="1" applyFill="1" applyBorder="1" applyAlignment="1">
      <alignment horizontal="center" vertical="center"/>
    </xf>
    <xf numFmtId="38" fontId="3" fillId="4" borderId="4" xfId="1" applyFont="1" applyFill="1" applyBorder="1" applyAlignment="1">
      <alignment horizontal="center" vertical="center"/>
    </xf>
    <xf numFmtId="38" fontId="3" fillId="4" borderId="5" xfId="1" applyFont="1" applyFill="1" applyBorder="1" applyAlignment="1">
      <alignment horizontal="center" vertical="center" wrapText="1"/>
    </xf>
    <xf numFmtId="177" fontId="0" fillId="4" borderId="4" xfId="0" applyNumberFormat="1" applyFill="1" applyBorder="1" applyAlignment="1">
      <alignment horizontal="center" vertical="center"/>
    </xf>
    <xf numFmtId="38" fontId="3" fillId="4" borderId="4" xfId="1" applyFont="1" applyFill="1" applyBorder="1" applyAlignment="1">
      <alignment horizontal="center" vertical="center" wrapText="1"/>
    </xf>
    <xf numFmtId="0" fontId="0" fillId="0" borderId="6" xfId="0" applyBorder="1" applyAlignment="1">
      <alignment horizontal="center" vertical="center"/>
    </xf>
    <xf numFmtId="178" fontId="3" fillId="5" borderId="8" xfId="1" applyNumberFormat="1" applyFont="1" applyFill="1" applyBorder="1" applyProtection="1">
      <alignment vertical="center"/>
      <protection locked="0"/>
    </xf>
    <xf numFmtId="38" fontId="3" fillId="6" borderId="9" xfId="1" applyFont="1" applyFill="1" applyBorder="1" applyProtection="1">
      <alignment vertical="center"/>
    </xf>
    <xf numFmtId="176" fontId="3" fillId="6" borderId="9" xfId="1" applyNumberFormat="1" applyFont="1" applyFill="1" applyBorder="1" applyProtection="1">
      <alignment vertical="center"/>
    </xf>
    <xf numFmtId="178" fontId="0" fillId="5" borderId="8" xfId="0" applyNumberFormat="1" applyFill="1" applyBorder="1" applyProtection="1">
      <alignment vertical="center"/>
      <protection locked="0"/>
    </xf>
    <xf numFmtId="176" fontId="0" fillId="6" borderId="5" xfId="0" applyNumberFormat="1" applyFill="1" applyBorder="1">
      <alignment vertical="center"/>
    </xf>
    <xf numFmtId="178" fontId="0" fillId="6" borderId="6" xfId="0" applyNumberFormat="1" applyFill="1" applyBorder="1">
      <alignment vertical="center"/>
    </xf>
    <xf numFmtId="0" fontId="0" fillId="0" borderId="10" xfId="0" applyBorder="1" applyAlignment="1">
      <alignment horizontal="left" vertical="center"/>
    </xf>
    <xf numFmtId="38" fontId="3" fillId="4" borderId="11" xfId="1" applyFont="1" applyFill="1" applyBorder="1" applyAlignment="1">
      <alignment horizontal="center" vertical="center"/>
    </xf>
    <xf numFmtId="0" fontId="0" fillId="0" borderId="10" xfId="0" applyBorder="1" applyAlignment="1" applyProtection="1">
      <alignment horizontal="center" vertical="center"/>
      <protection locked="0" hidden="1"/>
    </xf>
    <xf numFmtId="38" fontId="3" fillId="0" borderId="11" xfId="1" applyFont="1" applyBorder="1" applyAlignment="1" applyProtection="1">
      <alignment horizontal="center" vertical="center"/>
      <protection locked="0" hidden="1"/>
    </xf>
    <xf numFmtId="0" fontId="0" fillId="0" borderId="12" xfId="0" applyBorder="1" applyAlignment="1" applyProtection="1">
      <alignment horizontal="center" vertical="center"/>
      <protection locked="0" hidden="1"/>
    </xf>
    <xf numFmtId="176" fontId="0" fillId="7" borderId="11" xfId="0" applyNumberFormat="1" applyFill="1" applyBorder="1" applyAlignment="1">
      <alignment horizontal="center" vertical="center"/>
    </xf>
    <xf numFmtId="0" fontId="0" fillId="0" borderId="13" xfId="0" applyBorder="1" applyAlignment="1">
      <alignment horizontal="center" vertical="center"/>
    </xf>
    <xf numFmtId="178" fontId="3" fillId="5" borderId="14" xfId="1" applyNumberFormat="1" applyFont="1" applyFill="1" applyBorder="1" applyProtection="1">
      <alignment vertical="center"/>
      <protection locked="0"/>
    </xf>
    <xf numFmtId="178" fontId="0" fillId="5" borderId="14" xfId="0" applyNumberFormat="1" applyFill="1" applyBorder="1" applyProtection="1">
      <alignment vertical="center"/>
      <protection locked="0"/>
    </xf>
    <xf numFmtId="38" fontId="3" fillId="4" borderId="15" xfId="1" applyFont="1" applyFill="1" applyBorder="1" applyAlignment="1">
      <alignment horizontal="center" vertical="center"/>
    </xf>
    <xf numFmtId="0" fontId="0" fillId="8" borderId="0" xfId="0" applyFill="1" applyProtection="1">
      <alignment vertical="center"/>
      <protection locked="0"/>
    </xf>
    <xf numFmtId="176" fontId="0" fillId="7" borderId="15" xfId="0" applyNumberFormat="1" applyFill="1" applyBorder="1" applyAlignment="1">
      <alignment horizontal="center" vertical="center"/>
    </xf>
    <xf numFmtId="0" fontId="0" fillId="7" borderId="15" xfId="0" applyFill="1" applyBorder="1" applyAlignment="1">
      <alignment horizontal="center" vertical="center"/>
    </xf>
    <xf numFmtId="38" fontId="3" fillId="0" borderId="4" xfId="1" applyFont="1" applyBorder="1" applyAlignment="1" applyProtection="1">
      <alignment horizontal="left" vertical="center"/>
      <protection hidden="1"/>
    </xf>
    <xf numFmtId="178" fontId="3" fillId="5" borderId="17" xfId="1" applyNumberFormat="1" applyFont="1" applyFill="1" applyBorder="1" applyProtection="1">
      <alignment vertical="center"/>
      <protection locked="0"/>
    </xf>
    <xf numFmtId="178" fontId="0" fillId="5" borderId="17" xfId="0" applyNumberFormat="1" applyFill="1" applyBorder="1" applyProtection="1">
      <alignment vertical="center"/>
      <protection locked="0"/>
    </xf>
    <xf numFmtId="38" fontId="3" fillId="0" borderId="0" xfId="1" applyFont="1" applyBorder="1">
      <alignment vertical="center"/>
    </xf>
    <xf numFmtId="0" fontId="0" fillId="0" borderId="4" xfId="0" applyBorder="1" applyAlignment="1" applyProtection="1">
      <alignment horizontal="left" vertical="center"/>
      <protection hidden="1"/>
    </xf>
    <xf numFmtId="38" fontId="3" fillId="4" borderId="18" xfId="1" applyFont="1" applyFill="1" applyBorder="1" applyAlignment="1">
      <alignment horizontal="center" vertical="center"/>
    </xf>
    <xf numFmtId="176" fontId="0" fillId="7" borderId="18" xfId="0" applyNumberFormat="1" applyFill="1" applyBorder="1" applyAlignment="1">
      <alignment horizontal="center" vertical="center"/>
    </xf>
    <xf numFmtId="0" fontId="0" fillId="0" borderId="0" xfId="0" applyAlignment="1">
      <alignment horizontal="center" vertical="center"/>
    </xf>
    <xf numFmtId="176" fontId="0" fillId="9" borderId="4" xfId="0" applyNumberFormat="1" applyFill="1" applyBorder="1" applyAlignment="1">
      <alignment horizontal="center" vertical="center"/>
    </xf>
    <xf numFmtId="176" fontId="0" fillId="9" borderId="4" xfId="0" applyNumberFormat="1" applyFill="1" applyBorder="1">
      <alignment vertical="center"/>
    </xf>
    <xf numFmtId="38" fontId="3" fillId="0" borderId="0" xfId="1" applyFont="1" applyFill="1" applyBorder="1" applyAlignment="1">
      <alignment horizontal="center" vertical="center" shrinkToFit="1"/>
    </xf>
    <xf numFmtId="38" fontId="3" fillId="0" borderId="0" xfId="1" applyFont="1" applyFill="1" applyBorder="1" applyAlignment="1">
      <alignment vertical="center" shrinkToFit="1"/>
    </xf>
    <xf numFmtId="0" fontId="0" fillId="8" borderId="19" xfId="0" applyFill="1" applyBorder="1" applyAlignment="1" applyProtection="1">
      <alignment horizontal="center" vertical="center"/>
      <protection locked="0"/>
    </xf>
    <xf numFmtId="179" fontId="0" fillId="0" borderId="0" xfId="0" applyNumberFormat="1" applyAlignment="1">
      <alignment horizontal="center" vertical="center"/>
    </xf>
    <xf numFmtId="0" fontId="0" fillId="0" borderId="0" xfId="0" applyAlignment="1">
      <alignment vertical="top" wrapText="1"/>
    </xf>
    <xf numFmtId="0" fontId="0" fillId="0" borderId="0" xfId="0" applyAlignment="1">
      <alignment vertical="center" wrapText="1"/>
    </xf>
    <xf numFmtId="38" fontId="17" fillId="0" borderId="0" xfId="1" applyFont="1">
      <alignment vertical="center"/>
    </xf>
    <xf numFmtId="38" fontId="3" fillId="0" borderId="0" xfId="1" applyFont="1" applyFill="1">
      <alignment vertical="center"/>
    </xf>
    <xf numFmtId="38" fontId="3" fillId="11" borderId="4" xfId="1" applyFont="1" applyFill="1" applyBorder="1" applyAlignment="1">
      <alignment horizontal="center" vertical="center" shrinkToFit="1"/>
    </xf>
    <xf numFmtId="0" fontId="14" fillId="11" borderId="3" xfId="0" applyFont="1" applyFill="1" applyBorder="1" applyAlignment="1">
      <alignment horizontal="center" vertical="center"/>
    </xf>
    <xf numFmtId="3" fontId="0" fillId="0" borderId="0" xfId="0" applyNumberFormat="1">
      <alignment vertical="center"/>
    </xf>
    <xf numFmtId="9" fontId="3" fillId="11" borderId="6" xfId="1" applyNumberFormat="1" applyFont="1" applyFill="1" applyBorder="1" applyProtection="1">
      <alignment vertical="center"/>
    </xf>
    <xf numFmtId="0" fontId="18" fillId="11" borderId="10" xfId="0" applyFont="1" applyFill="1" applyBorder="1" applyAlignment="1">
      <alignment horizontal="center" vertical="center"/>
    </xf>
    <xf numFmtId="178" fontId="14" fillId="11" borderId="4" xfId="1" applyNumberFormat="1" applyFont="1" applyFill="1" applyBorder="1" applyAlignment="1">
      <alignment horizontal="center" vertical="center" wrapText="1" shrinkToFit="1"/>
    </xf>
    <xf numFmtId="38" fontId="7" fillId="11" borderId="4" xfId="1" applyFont="1" applyFill="1" applyBorder="1" applyAlignment="1">
      <alignment horizontal="center" vertical="center" wrapText="1"/>
    </xf>
    <xf numFmtId="0" fontId="19" fillId="0" borderId="23" xfId="0" applyFont="1" applyBorder="1">
      <alignment vertical="center"/>
    </xf>
    <xf numFmtId="0" fontId="0" fillId="0" borderId="24" xfId="0" applyBorder="1">
      <alignment vertical="center"/>
    </xf>
    <xf numFmtId="177" fontId="0" fillId="0" borderId="24" xfId="0" applyNumberFormat="1" applyBorder="1">
      <alignment vertical="center"/>
    </xf>
    <xf numFmtId="0" fontId="0" fillId="0" borderId="25" xfId="0" applyBorder="1">
      <alignment vertical="center"/>
    </xf>
    <xf numFmtId="176" fontId="0" fillId="0" borderId="4" xfId="0" applyNumberFormat="1" applyBorder="1">
      <alignment vertical="center"/>
    </xf>
    <xf numFmtId="38" fontId="3" fillId="0" borderId="4" xfId="1" applyFont="1" applyFill="1" applyBorder="1">
      <alignment vertical="center"/>
    </xf>
    <xf numFmtId="178" fontId="3" fillId="0" borderId="4" xfId="1" applyNumberFormat="1" applyFont="1" applyFill="1" applyBorder="1">
      <alignment vertical="center"/>
    </xf>
    <xf numFmtId="180" fontId="0" fillId="0" borderId="4" xfId="0" applyNumberFormat="1" applyBorder="1">
      <alignment vertical="center"/>
    </xf>
    <xf numFmtId="0" fontId="0" fillId="0" borderId="26" xfId="0" applyBorder="1">
      <alignment vertical="center"/>
    </xf>
    <xf numFmtId="0" fontId="0" fillId="12" borderId="4" xfId="0" applyFill="1" applyBorder="1">
      <alignment vertical="center"/>
    </xf>
    <xf numFmtId="177" fontId="0" fillId="12" borderId="4" xfId="0" applyNumberFormat="1" applyFill="1" applyBorder="1">
      <alignment vertical="center"/>
    </xf>
    <xf numFmtId="38" fontId="3" fillId="12" borderId="4" xfId="1" applyFont="1" applyFill="1" applyBorder="1">
      <alignment vertical="center"/>
    </xf>
    <xf numFmtId="0" fontId="0" fillId="0" borderId="27" xfId="0" applyBorder="1">
      <alignment vertical="center"/>
    </xf>
    <xf numFmtId="38" fontId="3" fillId="0" borderId="6" xfId="1" applyFont="1" applyBorder="1" applyAlignment="1">
      <alignment horizontal="center" vertical="center"/>
    </xf>
    <xf numFmtId="180" fontId="3" fillId="0" borderId="4" xfId="1" applyNumberFormat="1" applyFont="1" applyFill="1" applyBorder="1">
      <alignment vertical="center"/>
    </xf>
    <xf numFmtId="176" fontId="0" fillId="0" borderId="28" xfId="0" applyNumberFormat="1" applyBorder="1">
      <alignment vertical="center"/>
    </xf>
    <xf numFmtId="176" fontId="0" fillId="0" borderId="31" xfId="0" applyNumberFormat="1" applyBorder="1">
      <alignment vertical="center"/>
    </xf>
    <xf numFmtId="38" fontId="3" fillId="0" borderId="21" xfId="1" applyFont="1" applyBorder="1" applyAlignment="1">
      <alignment horizontal="center" vertical="center"/>
    </xf>
    <xf numFmtId="176" fontId="0" fillId="0" borderId="34" xfId="0" applyNumberFormat="1" applyBorder="1">
      <alignment vertical="center"/>
    </xf>
    <xf numFmtId="10" fontId="0" fillId="0" borderId="35" xfId="0" applyNumberFormat="1" applyBorder="1">
      <alignment vertical="center"/>
    </xf>
    <xf numFmtId="38" fontId="3" fillId="0" borderId="36" xfId="1" applyFont="1" applyBorder="1">
      <alignment vertical="center"/>
    </xf>
    <xf numFmtId="0" fontId="0" fillId="12" borderId="6" xfId="0" applyFill="1" applyBorder="1">
      <alignment vertical="center"/>
    </xf>
    <xf numFmtId="0" fontId="0" fillId="12" borderId="9" xfId="0" applyFill="1" applyBorder="1">
      <alignment vertical="center"/>
    </xf>
    <xf numFmtId="0" fontId="0" fillId="12" borderId="5" xfId="0" applyFill="1" applyBorder="1">
      <alignment vertical="center"/>
    </xf>
    <xf numFmtId="10" fontId="0" fillId="0" borderId="4" xfId="0" applyNumberFormat="1" applyBorder="1">
      <alignment vertical="center"/>
    </xf>
    <xf numFmtId="0" fontId="0" fillId="12" borderId="21" xfId="0" applyFill="1" applyBorder="1">
      <alignment vertical="center"/>
    </xf>
    <xf numFmtId="0" fontId="21" fillId="6" borderId="4" xfId="0" applyFont="1" applyFill="1" applyBorder="1">
      <alignment vertical="center"/>
    </xf>
    <xf numFmtId="176" fontId="20" fillId="0" borderId="0" xfId="0" applyNumberFormat="1" applyFont="1" applyAlignment="1">
      <alignment vertical="center" wrapText="1"/>
    </xf>
    <xf numFmtId="0" fontId="0" fillId="12" borderId="37" xfId="0" applyFill="1" applyBorder="1">
      <alignment vertical="center"/>
    </xf>
    <xf numFmtId="10" fontId="0" fillId="0" borderId="38" xfId="0" applyNumberFormat="1" applyBorder="1">
      <alignment vertical="center"/>
    </xf>
    <xf numFmtId="180" fontId="0" fillId="0" borderId="39" xfId="0" applyNumberFormat="1" applyBorder="1">
      <alignment vertical="center"/>
    </xf>
    <xf numFmtId="10" fontId="0" fillId="14" borderId="40" xfId="0" applyNumberFormat="1" applyFill="1" applyBorder="1">
      <alignment vertical="center"/>
    </xf>
    <xf numFmtId="10" fontId="0" fillId="0" borderId="31" xfId="0" applyNumberFormat="1" applyBorder="1">
      <alignment vertical="center"/>
    </xf>
    <xf numFmtId="180" fontId="0" fillId="0" borderId="33" xfId="0" applyNumberFormat="1" applyBorder="1">
      <alignment vertical="center"/>
    </xf>
    <xf numFmtId="10" fontId="0" fillId="14" borderId="15" xfId="0" applyNumberFormat="1" applyFill="1" applyBorder="1">
      <alignment vertical="center"/>
    </xf>
    <xf numFmtId="0" fontId="0" fillId="12" borderId="13" xfId="0" applyFill="1" applyBorder="1">
      <alignment vertical="center"/>
    </xf>
    <xf numFmtId="10" fontId="0" fillId="0" borderId="34" xfId="0" applyNumberFormat="1" applyBorder="1">
      <alignment vertical="center"/>
    </xf>
    <xf numFmtId="0" fontId="0" fillId="0" borderId="36" xfId="0" applyBorder="1">
      <alignment vertical="center"/>
    </xf>
    <xf numFmtId="10" fontId="0" fillId="14" borderId="18" xfId="0" applyNumberFormat="1" applyFill="1" applyBorder="1">
      <alignment vertical="center"/>
    </xf>
    <xf numFmtId="0" fontId="22" fillId="12" borderId="6" xfId="0" applyFont="1" applyFill="1" applyBorder="1">
      <alignment vertical="center"/>
    </xf>
    <xf numFmtId="0" fontId="14" fillId="12" borderId="6" xfId="0" applyFont="1" applyFill="1" applyBorder="1">
      <alignment vertical="center"/>
    </xf>
    <xf numFmtId="0" fontId="14" fillId="12" borderId="5" xfId="0" applyFont="1" applyFill="1" applyBorder="1">
      <alignment vertical="center"/>
    </xf>
    <xf numFmtId="0" fontId="0" fillId="0" borderId="41" xfId="0" applyBorder="1">
      <alignment vertical="center"/>
    </xf>
    <xf numFmtId="0" fontId="0" fillId="0" borderId="42" xfId="0" applyBorder="1">
      <alignment vertical="center"/>
    </xf>
    <xf numFmtId="177" fontId="0" fillId="0" borderId="42" xfId="0" applyNumberFormat="1" applyBorder="1">
      <alignment vertical="center"/>
    </xf>
    <xf numFmtId="0" fontId="0" fillId="0" borderId="43" xfId="0" applyBorder="1">
      <alignment vertical="center"/>
    </xf>
    <xf numFmtId="176" fontId="7" fillId="0" borderId="0" xfId="0" applyNumberFormat="1" applyFont="1">
      <alignment vertical="center"/>
    </xf>
    <xf numFmtId="181" fontId="7" fillId="0" borderId="0" xfId="0" applyNumberFormat="1" applyFont="1">
      <alignment vertical="center"/>
    </xf>
    <xf numFmtId="182" fontId="3" fillId="0" borderId="0" xfId="1" applyNumberFormat="1" applyFont="1">
      <alignment vertical="center"/>
    </xf>
    <xf numFmtId="0" fontId="3" fillId="0" borderId="0" xfId="2">
      <alignment vertical="center"/>
    </xf>
    <xf numFmtId="0" fontId="3" fillId="15" borderId="0" xfId="2" applyFill="1">
      <alignment vertical="center"/>
    </xf>
    <xf numFmtId="0" fontId="26" fillId="15" borderId="0" xfId="2" applyFont="1" applyFill="1">
      <alignment vertical="center"/>
    </xf>
    <xf numFmtId="0" fontId="3" fillId="0" borderId="4" xfId="2" applyBorder="1">
      <alignment vertical="center"/>
    </xf>
    <xf numFmtId="0" fontId="27" fillId="16" borderId="44" xfId="2" applyFont="1" applyFill="1" applyBorder="1">
      <alignment vertical="center"/>
    </xf>
    <xf numFmtId="0" fontId="28" fillId="15" borderId="0" xfId="2" applyFont="1" applyFill="1">
      <alignment vertical="center"/>
    </xf>
    <xf numFmtId="0" fontId="28" fillId="0" borderId="4" xfId="2" applyFont="1" applyBorder="1">
      <alignment vertical="center"/>
    </xf>
    <xf numFmtId="0" fontId="3" fillId="0" borderId="4" xfId="2" applyBorder="1" applyProtection="1">
      <alignment vertical="center"/>
      <protection locked="0"/>
    </xf>
    <xf numFmtId="183" fontId="28" fillId="17" borderId="44" xfId="2" applyNumberFormat="1" applyFont="1" applyFill="1" applyBorder="1" applyProtection="1">
      <alignment vertical="center"/>
      <protection locked="0"/>
    </xf>
    <xf numFmtId="0" fontId="29" fillId="15" borderId="0" xfId="2" applyFont="1" applyFill="1">
      <alignment vertical="center"/>
    </xf>
    <xf numFmtId="183" fontId="28" fillId="18" borderId="44" xfId="2" applyNumberFormat="1" applyFont="1" applyFill="1" applyBorder="1">
      <alignment vertical="center"/>
    </xf>
    <xf numFmtId="0" fontId="3" fillId="16" borderId="6" xfId="2" applyFill="1" applyBorder="1">
      <alignment vertical="center"/>
    </xf>
    <xf numFmtId="0" fontId="3" fillId="16" borderId="9" xfId="2" applyFill="1" applyBorder="1">
      <alignment vertical="center"/>
    </xf>
    <xf numFmtId="0" fontId="3" fillId="16" borderId="5" xfId="2" applyFill="1" applyBorder="1">
      <alignment vertical="center"/>
    </xf>
    <xf numFmtId="0" fontId="3" fillId="16" borderId="4" xfId="2" applyFill="1" applyBorder="1">
      <alignment vertical="center"/>
    </xf>
    <xf numFmtId="38" fontId="3" fillId="0" borderId="4" xfId="3" applyFont="1" applyBorder="1" applyProtection="1">
      <alignment vertical="center"/>
    </xf>
    <xf numFmtId="177" fontId="3" fillId="0" borderId="4" xfId="2" applyNumberFormat="1" applyBorder="1">
      <alignment vertical="center"/>
    </xf>
    <xf numFmtId="3" fontId="3" fillId="0" borderId="4" xfId="3" applyNumberFormat="1" applyFont="1" applyBorder="1" applyProtection="1">
      <alignment vertical="center"/>
    </xf>
    <xf numFmtId="3" fontId="3" fillId="0" borderId="4" xfId="2" applyNumberFormat="1" applyBorder="1">
      <alignment vertical="center"/>
    </xf>
    <xf numFmtId="176" fontId="3" fillId="0" borderId="4" xfId="2" applyNumberFormat="1" applyBorder="1">
      <alignment vertical="center"/>
    </xf>
    <xf numFmtId="0" fontId="3" fillId="4" borderId="4" xfId="2" applyFill="1" applyBorder="1" applyAlignment="1">
      <alignment horizontal="center" vertical="center"/>
    </xf>
    <xf numFmtId="0" fontId="3" fillId="19" borderId="4" xfId="2" applyFill="1" applyBorder="1" applyAlignment="1">
      <alignment horizontal="center" vertical="center"/>
    </xf>
    <xf numFmtId="183" fontId="3" fillId="0" borderId="4" xfId="2" applyNumberFormat="1" applyBorder="1" applyAlignment="1">
      <alignment horizontal="left" vertical="center"/>
    </xf>
    <xf numFmtId="176" fontId="3" fillId="0" borderId="4" xfId="3" applyNumberFormat="1" applyFont="1" applyBorder="1" applyProtection="1">
      <alignment vertical="center"/>
    </xf>
    <xf numFmtId="176" fontId="3" fillId="0" borderId="4" xfId="2" applyNumberFormat="1" applyBorder="1" applyAlignment="1">
      <alignment horizontal="right" vertical="center"/>
    </xf>
    <xf numFmtId="0" fontId="7" fillId="15" borderId="0" xfId="2" applyFont="1" applyFill="1" applyAlignment="1">
      <alignment vertical="center" textRotation="255"/>
    </xf>
    <xf numFmtId="0" fontId="3" fillId="20" borderId="4" xfId="2" applyFill="1" applyBorder="1" applyAlignment="1">
      <alignment horizontal="center" vertical="center"/>
    </xf>
    <xf numFmtId="0" fontId="3" fillId="0" borderId="0" xfId="2" applyProtection="1">
      <alignment vertical="center"/>
      <protection locked="0"/>
    </xf>
    <xf numFmtId="0" fontId="32" fillId="0" borderId="0" xfId="2" applyFont="1">
      <alignment vertical="center"/>
    </xf>
    <xf numFmtId="3" fontId="32" fillId="0" borderId="44" xfId="2" applyNumberFormat="1" applyFont="1" applyBorder="1">
      <alignment vertical="center"/>
    </xf>
    <xf numFmtId="3" fontId="3" fillId="0" borderId="0" xfId="2" applyNumberFormat="1">
      <alignment vertical="center"/>
    </xf>
    <xf numFmtId="38" fontId="3" fillId="0" borderId="45" xfId="1" applyFont="1" applyFill="1" applyBorder="1" applyAlignment="1">
      <alignment horizontal="left" vertical="center" wrapText="1"/>
    </xf>
    <xf numFmtId="0" fontId="0" fillId="0" borderId="4" xfId="0" applyBorder="1">
      <alignment vertical="center"/>
    </xf>
    <xf numFmtId="0" fontId="19" fillId="0" borderId="0" xfId="0" applyFont="1">
      <alignment vertical="center"/>
    </xf>
    <xf numFmtId="0" fontId="28" fillId="15" borderId="44" xfId="2" applyFont="1" applyFill="1" applyBorder="1" applyProtection="1">
      <alignment vertical="center"/>
      <protection locked="0"/>
    </xf>
    <xf numFmtId="0" fontId="0" fillId="0" borderId="7" xfId="0" applyBorder="1" applyAlignment="1" applyProtection="1">
      <alignment horizontal="center" vertical="center" shrinkToFit="1"/>
      <protection locked="0"/>
    </xf>
    <xf numFmtId="0" fontId="0" fillId="0" borderId="8" xfId="0" applyBorder="1" applyProtection="1">
      <alignment vertical="center"/>
      <protection locked="0"/>
    </xf>
    <xf numFmtId="0" fontId="0" fillId="0" borderId="14" xfId="0" applyBorder="1" applyProtection="1">
      <alignment vertical="center"/>
      <protection locked="0"/>
    </xf>
    <xf numFmtId="0" fontId="0" fillId="0" borderId="17" xfId="0" applyBorder="1" applyProtection="1">
      <alignment vertical="center"/>
      <protection locked="0"/>
    </xf>
    <xf numFmtId="38" fontId="3" fillId="0" borderId="46" xfId="1" applyFont="1" applyBorder="1" applyProtection="1">
      <alignment vertical="center"/>
      <protection locked="0"/>
    </xf>
    <xf numFmtId="38" fontId="3" fillId="0" borderId="47" xfId="1" applyFont="1" applyBorder="1" applyProtection="1">
      <alignment vertical="center"/>
      <protection locked="0"/>
    </xf>
    <xf numFmtId="38" fontId="3" fillId="0" borderId="48" xfId="1" applyFont="1" applyBorder="1" applyProtection="1">
      <alignment vertical="center"/>
      <protection locked="0"/>
    </xf>
    <xf numFmtId="180" fontId="0" fillId="0" borderId="6" xfId="0" applyNumberFormat="1" applyBorder="1">
      <alignment vertical="center"/>
    </xf>
    <xf numFmtId="38" fontId="3" fillId="10" borderId="21" xfId="1" applyFont="1" applyFill="1" applyBorder="1" applyAlignment="1">
      <alignment horizontal="center" vertical="center"/>
    </xf>
    <xf numFmtId="38" fontId="3" fillId="10" borderId="22" xfId="1" applyFont="1" applyFill="1" applyBorder="1" applyAlignment="1" applyProtection="1">
      <alignment horizontal="center" vertical="center"/>
      <protection locked="0"/>
    </xf>
    <xf numFmtId="38" fontId="3" fillId="10" borderId="3" xfId="1" applyFont="1" applyFill="1" applyBorder="1" applyAlignment="1" applyProtection="1">
      <alignment horizontal="center" vertical="center"/>
    </xf>
    <xf numFmtId="0" fontId="0" fillId="10" borderId="21" xfId="0" applyFill="1" applyBorder="1" applyAlignment="1">
      <alignment horizontal="left" vertical="center"/>
    </xf>
    <xf numFmtId="0" fontId="0" fillId="10" borderId="22" xfId="0" applyFill="1" applyBorder="1" applyAlignment="1">
      <alignment horizontal="left" vertical="center"/>
    </xf>
    <xf numFmtId="0" fontId="0" fillId="0" borderId="21" xfId="0" applyBorder="1">
      <alignment vertical="center"/>
    </xf>
    <xf numFmtId="0" fontId="0" fillId="0" borderId="19" xfId="0" applyBorder="1">
      <alignment vertical="center"/>
    </xf>
    <xf numFmtId="177" fontId="0" fillId="0" borderId="19" xfId="0" applyNumberFormat="1" applyBorder="1">
      <alignment vertical="center"/>
    </xf>
    <xf numFmtId="38" fontId="3" fillId="0" borderId="37" xfId="1" applyFont="1" applyFill="1" applyBorder="1" applyAlignment="1">
      <alignment horizontal="center" vertical="center"/>
    </xf>
    <xf numFmtId="38" fontId="3" fillId="0" borderId="0" xfId="1" applyFont="1" applyFill="1" applyBorder="1" applyAlignment="1">
      <alignment horizontal="center" vertical="center"/>
    </xf>
    <xf numFmtId="10" fontId="34" fillId="0" borderId="29" xfId="0" applyNumberFormat="1" applyFont="1" applyBorder="1">
      <alignment vertical="center"/>
    </xf>
    <xf numFmtId="38" fontId="34" fillId="0" borderId="30" xfId="1" applyFont="1" applyBorder="1">
      <alignment vertical="center"/>
    </xf>
    <xf numFmtId="10" fontId="34" fillId="0" borderId="32" xfId="0" applyNumberFormat="1" applyFont="1" applyBorder="1">
      <alignment vertical="center"/>
    </xf>
    <xf numFmtId="38" fontId="34" fillId="0" borderId="33" xfId="1" applyFont="1" applyBorder="1">
      <alignment vertical="center"/>
    </xf>
    <xf numFmtId="0" fontId="14" fillId="12" borderId="9" xfId="0" applyFont="1" applyFill="1" applyBorder="1">
      <alignment vertical="center"/>
    </xf>
    <xf numFmtId="176" fontId="0" fillId="14" borderId="11" xfId="0" applyNumberFormat="1" applyFill="1" applyBorder="1">
      <alignment vertical="center"/>
    </xf>
    <xf numFmtId="176" fontId="0" fillId="14" borderId="15" xfId="0" applyNumberFormat="1" applyFill="1" applyBorder="1">
      <alignment vertical="center"/>
    </xf>
    <xf numFmtId="176" fontId="0" fillId="14" borderId="18" xfId="0" applyNumberFormat="1" applyFill="1" applyBorder="1">
      <alignment vertical="center"/>
    </xf>
    <xf numFmtId="38" fontId="3" fillId="0" borderId="15" xfId="1" applyFont="1" applyBorder="1" applyAlignment="1" applyProtection="1">
      <alignment horizontal="center" vertical="center"/>
      <protection locked="0" hidden="1"/>
    </xf>
    <xf numFmtId="0" fontId="0" fillId="0" borderId="49" xfId="0" applyBorder="1" applyAlignment="1" applyProtection="1">
      <alignment horizontal="center" vertical="center"/>
      <protection locked="0" hidden="1"/>
    </xf>
    <xf numFmtId="38" fontId="3" fillId="0" borderId="18" xfId="1" applyFont="1" applyBorder="1" applyAlignment="1" applyProtection="1">
      <alignment horizontal="center" vertical="center"/>
      <protection locked="0" hidden="1"/>
    </xf>
    <xf numFmtId="0" fontId="0" fillId="0" borderId="50" xfId="0" applyBorder="1" applyAlignment="1" applyProtection="1">
      <alignment horizontal="center" vertical="center"/>
      <protection locked="0" hidden="1"/>
    </xf>
    <xf numFmtId="0" fontId="0" fillId="6" borderId="4" xfId="0" applyFill="1" applyBorder="1" applyAlignment="1">
      <alignment horizontal="center" vertical="center"/>
    </xf>
    <xf numFmtId="0" fontId="0" fillId="0" borderId="9" xfId="0" applyBorder="1">
      <alignment vertical="center"/>
    </xf>
    <xf numFmtId="0" fontId="0" fillId="0" borderId="5" xfId="0" applyBorder="1">
      <alignment vertical="center"/>
    </xf>
    <xf numFmtId="0" fontId="0" fillId="0" borderId="6" xfId="0" applyBorder="1">
      <alignment vertical="center"/>
    </xf>
    <xf numFmtId="176" fontId="34" fillId="0" borderId="6" xfId="0" applyNumberFormat="1" applyFont="1" applyBorder="1">
      <alignment vertical="center"/>
    </xf>
    <xf numFmtId="180" fontId="3" fillId="0" borderId="6" xfId="1" applyNumberFormat="1" applyFont="1" applyBorder="1" applyAlignment="1">
      <alignment vertical="center"/>
    </xf>
    <xf numFmtId="180" fontId="3" fillId="0" borderId="5" xfId="1" applyNumberFormat="1" applyFont="1" applyBorder="1" applyAlignment="1">
      <alignment vertical="center"/>
    </xf>
    <xf numFmtId="178" fontId="3" fillId="0" borderId="6" xfId="1" applyNumberFormat="1" applyFont="1" applyFill="1" applyBorder="1" applyAlignment="1">
      <alignment horizontal="right" vertical="center"/>
    </xf>
    <xf numFmtId="178" fontId="3" fillId="0" borderId="5" xfId="1" applyNumberFormat="1" applyFont="1" applyFill="1" applyBorder="1" applyAlignment="1">
      <alignment horizontal="right" vertical="center"/>
    </xf>
    <xf numFmtId="178" fontId="3" fillId="0" borderId="4" xfId="1" applyNumberFormat="1" applyFont="1" applyFill="1" applyBorder="1" applyAlignment="1">
      <alignment horizontal="right" vertical="center"/>
    </xf>
    <xf numFmtId="178" fontId="0" fillId="0" borderId="4" xfId="0" applyNumberFormat="1" applyBorder="1" applyAlignment="1">
      <alignment horizontal="right" vertical="center"/>
    </xf>
    <xf numFmtId="180" fontId="33" fillId="0" borderId="6" xfId="1" applyNumberFormat="1" applyFont="1" applyFill="1" applyBorder="1" applyAlignment="1">
      <alignment vertical="center"/>
    </xf>
    <xf numFmtId="180" fontId="33" fillId="0" borderId="5" xfId="1" applyNumberFormat="1" applyFont="1" applyFill="1" applyBorder="1" applyAlignment="1">
      <alignment vertical="center"/>
    </xf>
    <xf numFmtId="176" fontId="0" fillId="13" borderId="6" xfId="0" applyNumberFormat="1" applyFill="1" applyBorder="1" applyAlignment="1">
      <alignment horizontal="center" vertical="center" shrinkToFit="1"/>
    </xf>
    <xf numFmtId="176" fontId="0" fillId="13" borderId="5" xfId="0" applyNumberFormat="1" applyFill="1" applyBorder="1" applyAlignment="1">
      <alignment horizontal="center" vertical="center" shrinkToFit="1"/>
    </xf>
    <xf numFmtId="38" fontId="19" fillId="0" borderId="0" xfId="1" applyFont="1" applyFill="1" applyAlignment="1">
      <alignment horizontal="left" vertical="top" wrapText="1"/>
    </xf>
    <xf numFmtId="38" fontId="3" fillId="0" borderId="6" xfId="1" applyFont="1" applyBorder="1" applyAlignment="1">
      <alignment horizontal="center" vertical="center"/>
    </xf>
    <xf numFmtId="38" fontId="3" fillId="0" borderId="5" xfId="1" applyFont="1" applyBorder="1" applyAlignment="1">
      <alignment horizontal="center" vertical="center"/>
    </xf>
    <xf numFmtId="180" fontId="3" fillId="0" borderId="6" xfId="1" applyNumberFormat="1" applyFont="1" applyFill="1" applyBorder="1" applyAlignment="1">
      <alignment vertical="center"/>
    </xf>
    <xf numFmtId="180" fontId="3" fillId="0" borderId="9" xfId="1" applyNumberFormat="1" applyFont="1" applyFill="1" applyBorder="1" applyAlignment="1">
      <alignment vertical="center"/>
    </xf>
    <xf numFmtId="38" fontId="7" fillId="11" borderId="21" xfId="1" applyFont="1" applyFill="1" applyBorder="1" applyAlignment="1">
      <alignment horizontal="center" vertical="center" wrapText="1"/>
    </xf>
    <xf numFmtId="38" fontId="7" fillId="11" borderId="22" xfId="1" applyFont="1" applyFill="1" applyBorder="1" applyAlignment="1">
      <alignment horizontal="center" vertical="center" wrapText="1"/>
    </xf>
    <xf numFmtId="38" fontId="7" fillId="11" borderId="13" xfId="1" applyFont="1" applyFill="1" applyBorder="1" applyAlignment="1">
      <alignment horizontal="center" vertical="center" wrapText="1"/>
    </xf>
    <xf numFmtId="38" fontId="7" fillId="11" borderId="20" xfId="1" applyFont="1" applyFill="1" applyBorder="1" applyAlignment="1">
      <alignment horizontal="center" vertical="center" wrapText="1"/>
    </xf>
    <xf numFmtId="0" fontId="14" fillId="0" borderId="3" xfId="0" applyFont="1" applyBorder="1" applyAlignment="1">
      <alignment horizontal="center" vertical="center" textRotation="255"/>
    </xf>
    <xf numFmtId="0" fontId="14" fillId="0" borderId="16" xfId="0" applyFont="1" applyBorder="1" applyAlignment="1">
      <alignment horizontal="center" vertical="center" textRotation="255"/>
    </xf>
    <xf numFmtId="0" fontId="14" fillId="0" borderId="10" xfId="0" applyFont="1" applyBorder="1" applyAlignment="1">
      <alignment horizontal="center" vertical="center" textRotation="255"/>
    </xf>
    <xf numFmtId="38" fontId="7" fillId="11" borderId="6" xfId="1" applyFont="1" applyFill="1" applyBorder="1" applyAlignment="1">
      <alignment horizontal="center" vertical="center"/>
    </xf>
    <xf numFmtId="38" fontId="7" fillId="11" borderId="9" xfId="1" applyFont="1" applyFill="1" applyBorder="1" applyAlignment="1">
      <alignment horizontal="center" vertical="center"/>
    </xf>
    <xf numFmtId="0" fontId="7" fillId="11" borderId="6" xfId="0" applyFont="1" applyFill="1" applyBorder="1" applyAlignment="1">
      <alignment horizontal="center" vertical="center"/>
    </xf>
    <xf numFmtId="0" fontId="7" fillId="11" borderId="5" xfId="0" applyFont="1" applyFill="1" applyBorder="1" applyAlignment="1">
      <alignment horizontal="center" vertical="center"/>
    </xf>
    <xf numFmtId="0" fontId="7" fillId="19" borderId="4" xfId="2" applyFont="1" applyFill="1" applyBorder="1" applyAlignment="1">
      <alignment horizontal="center" vertical="center" textRotation="255"/>
    </xf>
    <xf numFmtId="0" fontId="3" fillId="4" borderId="21" xfId="2" applyFill="1" applyBorder="1" applyAlignment="1">
      <alignment horizontal="center" vertical="center"/>
    </xf>
    <xf numFmtId="0" fontId="3" fillId="4" borderId="22" xfId="2" applyFill="1" applyBorder="1" applyAlignment="1">
      <alignment horizontal="center" vertical="center"/>
    </xf>
    <xf numFmtId="0" fontId="3" fillId="4" borderId="13" xfId="2" applyFill="1" applyBorder="1" applyAlignment="1">
      <alignment horizontal="center" vertical="center"/>
    </xf>
    <xf numFmtId="0" fontId="3" fillId="4" borderId="20" xfId="2" applyFill="1" applyBorder="1" applyAlignment="1">
      <alignment horizontal="center" vertical="center"/>
    </xf>
    <xf numFmtId="0" fontId="3" fillId="4" borderId="6" xfId="2" applyFill="1" applyBorder="1" applyAlignment="1">
      <alignment horizontal="center" vertical="center"/>
    </xf>
    <xf numFmtId="0" fontId="3" fillId="4" borderId="9" xfId="2" applyFill="1" applyBorder="1" applyAlignment="1">
      <alignment horizontal="center" vertical="center"/>
    </xf>
    <xf numFmtId="0" fontId="3" fillId="4" borderId="5" xfId="2" applyFill="1" applyBorder="1" applyAlignment="1">
      <alignment horizontal="center" vertical="center"/>
    </xf>
    <xf numFmtId="0" fontId="3" fillId="20" borderId="21" xfId="2" applyFill="1" applyBorder="1" applyAlignment="1">
      <alignment horizontal="center" vertical="center"/>
    </xf>
    <xf numFmtId="0" fontId="3" fillId="20" borderId="22" xfId="2" applyFill="1" applyBorder="1" applyAlignment="1">
      <alignment horizontal="center" vertical="center"/>
    </xf>
    <xf numFmtId="0" fontId="3" fillId="20" borderId="13" xfId="2" applyFill="1" applyBorder="1" applyAlignment="1">
      <alignment horizontal="center" vertical="center"/>
    </xf>
    <xf numFmtId="0" fontId="3" fillId="20" borderId="20" xfId="2" applyFill="1" applyBorder="1" applyAlignment="1">
      <alignment horizontal="center" vertical="center"/>
    </xf>
    <xf numFmtId="0" fontId="3" fillId="20" borderId="6" xfId="2" applyFill="1" applyBorder="1" applyAlignment="1">
      <alignment horizontal="center" vertical="center"/>
    </xf>
    <xf numFmtId="0" fontId="3" fillId="20" borderId="9" xfId="2" applyFill="1" applyBorder="1" applyAlignment="1">
      <alignment horizontal="center" vertical="center"/>
    </xf>
    <xf numFmtId="0" fontId="3" fillId="20" borderId="5" xfId="2" applyFill="1" applyBorder="1" applyAlignment="1">
      <alignment horizontal="center" vertical="center"/>
    </xf>
  </cellXfs>
  <cellStyles count="4">
    <cellStyle name="桁区切り" xfId="1" builtinId="6"/>
    <cellStyle name="桁区切り 2" xfId="3" xr:uid="{00000000-0005-0000-0000-000001000000}"/>
    <cellStyle name="標準" xfId="0" builtinId="0"/>
    <cellStyle name="標準 2" xfId="2" xr:uid="{00000000-0005-0000-0000-000003000000}"/>
  </cellStyles>
  <dxfs count="4">
    <dxf>
      <font>
        <color rgb="FFFF0000"/>
      </font>
      <fill>
        <patternFill>
          <bgColor rgb="FFFFC7CE"/>
        </patternFill>
      </fill>
    </dxf>
    <dxf>
      <font>
        <b/>
        <i val="0"/>
        <color rgb="FF9C0006"/>
      </font>
      <fill>
        <patternFill>
          <bgColor rgb="FFFFC7CE"/>
        </patternFill>
      </fill>
    </dxf>
    <dxf>
      <font>
        <b/>
        <i val="0"/>
        <color rgb="FF9C0006"/>
      </font>
      <fill>
        <patternFill>
          <bgColor rgb="FFFFC4CE"/>
        </patternFill>
      </fill>
    </dxf>
    <dxf>
      <font>
        <b/>
        <i val="0"/>
        <color rgb="FF9C0006"/>
      </font>
      <fill>
        <patternFill>
          <bgColor rgb="FFFFC7CE"/>
        </patternFill>
      </fill>
    </dxf>
  </dxfs>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city.shibuya.tokyo.jp/kurashi/kokuho/kenkohokenryo/hokenryo_shisan.html" TargetMode="External"/><Relationship Id="rId2" Type="http://schemas.openxmlformats.org/officeDocument/2006/relationships/hyperlink" Target="#&#20844;&#30340;&#24180;&#37329;&#31561;&#12398;&#25152;&#24471;&#35336;&#31639;&#26041;&#27861;!A1"/><Relationship Id="rId1" Type="http://schemas.openxmlformats.org/officeDocument/2006/relationships/hyperlink" Target="#'&#28304;&#27849;&#24500;&#21454;&#31080;&#65288;&#32102;&#19982;&#65289;'!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R8'!A1"/></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R8'!A1"/></Relationships>
</file>

<file path=xl/drawings/drawing1.xml><?xml version="1.0" encoding="utf-8"?>
<xdr:wsDr xmlns:xdr="http://schemas.openxmlformats.org/drawingml/2006/spreadsheetDrawing" xmlns:a="http://schemas.openxmlformats.org/drawingml/2006/main">
  <xdr:twoCellAnchor>
    <xdr:from>
      <xdr:col>0</xdr:col>
      <xdr:colOff>338087</xdr:colOff>
      <xdr:row>16</xdr:row>
      <xdr:rowOff>118180</xdr:rowOff>
    </xdr:from>
    <xdr:to>
      <xdr:col>8</xdr:col>
      <xdr:colOff>403179</xdr:colOff>
      <xdr:row>36</xdr:row>
      <xdr:rowOff>291982</xdr:rowOff>
    </xdr:to>
    <xdr:sp macro="" textlink="">
      <xdr:nvSpPr>
        <xdr:cNvPr id="5" name="テキスト ボックス 4" descr="試算シート使用方法について">
          <a:extLst>
            <a:ext uri="{FF2B5EF4-FFF2-40B4-BE49-F238E27FC236}">
              <a16:creationId xmlns:a16="http://schemas.microsoft.com/office/drawing/2014/main" id="{9890EF70-1B7B-458C-895A-8B85C490E060}"/>
            </a:ext>
          </a:extLst>
        </xdr:cNvPr>
        <xdr:cNvSpPr txBox="1"/>
      </xdr:nvSpPr>
      <xdr:spPr>
        <a:xfrm>
          <a:off x="338087" y="5729918"/>
          <a:ext cx="9223335" cy="62982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使用方法</a:t>
          </a:r>
          <a:r>
            <a:rPr kumimoji="1" lang="en-US" altLang="ja-JP" sz="1100">
              <a:solidFill>
                <a:schemeClr val="dk1"/>
              </a:solidFill>
              <a:effectLst/>
              <a:latin typeface="+mn-ea"/>
              <a:ea typeface="+mn-ea"/>
              <a:cs typeface="+mn-cs"/>
            </a:rPr>
            <a:t>】</a:t>
          </a:r>
          <a:endParaRPr lang="ja-JP" altLang="ja-JP" sz="1050">
            <a:effectLst/>
            <a:latin typeface="+mn-ea"/>
            <a:ea typeface="+mn-ea"/>
          </a:endParaRPr>
        </a:p>
        <a:p>
          <a:r>
            <a:rPr kumimoji="1" lang="ja-JP" altLang="ja-JP" sz="1050">
              <a:solidFill>
                <a:schemeClr val="dk1"/>
              </a:solidFill>
              <a:effectLst/>
              <a:latin typeface="+mn-ea"/>
              <a:ea typeface="+mn-ea"/>
              <a:cs typeface="+mn-cs"/>
            </a:rPr>
            <a:t>（１）世帯主は世帯主欄、世帯主以外の加入者は、加入者</a:t>
          </a:r>
          <a:r>
            <a:rPr kumimoji="1" lang="en-US" altLang="ja-JP" sz="1050">
              <a:solidFill>
                <a:schemeClr val="dk1"/>
              </a:solidFill>
              <a:effectLst/>
              <a:latin typeface="+mn-ea"/>
              <a:ea typeface="+mn-ea"/>
              <a:cs typeface="+mn-cs"/>
            </a:rPr>
            <a:t>1</a:t>
          </a:r>
          <a:r>
            <a:rPr kumimoji="1" lang="ja-JP" altLang="ja-JP" sz="1050">
              <a:solidFill>
                <a:schemeClr val="dk1"/>
              </a:solidFill>
              <a:effectLst/>
              <a:latin typeface="+mn-ea"/>
              <a:ea typeface="+mn-ea"/>
              <a:cs typeface="+mn-cs"/>
            </a:rPr>
            <a:t>～</a:t>
          </a:r>
          <a:r>
            <a:rPr kumimoji="1" lang="en-US" altLang="ja-JP" sz="1050">
              <a:solidFill>
                <a:schemeClr val="dk1"/>
              </a:solidFill>
              <a:effectLst/>
              <a:latin typeface="+mn-ea"/>
              <a:ea typeface="+mn-ea"/>
              <a:cs typeface="+mn-cs"/>
            </a:rPr>
            <a:t>3</a:t>
          </a:r>
          <a:r>
            <a:rPr kumimoji="1" lang="ja-JP" altLang="ja-JP" sz="1050">
              <a:solidFill>
                <a:schemeClr val="dk1"/>
              </a:solidFill>
              <a:effectLst/>
              <a:latin typeface="+mn-ea"/>
              <a:ea typeface="+mn-ea"/>
              <a:cs typeface="+mn-cs"/>
            </a:rPr>
            <a:t>欄の年齢を選択してください。</a:t>
          </a:r>
          <a:endParaRPr lang="ja-JP" altLang="ja-JP" sz="1050">
            <a:effectLst/>
            <a:latin typeface="+mn-ea"/>
            <a:ea typeface="+mn-ea"/>
          </a:endParaRPr>
        </a:p>
        <a:p>
          <a:r>
            <a:rPr kumimoji="1" lang="ja-JP" altLang="ja-JP" sz="1050">
              <a:solidFill>
                <a:schemeClr val="dk1"/>
              </a:solidFill>
              <a:effectLst/>
              <a:latin typeface="+mn-ea"/>
              <a:ea typeface="+mn-ea"/>
              <a:cs typeface="+mn-cs"/>
            </a:rPr>
            <a:t>　　　</a:t>
          </a:r>
          <a:r>
            <a:rPr kumimoji="1" lang="en-US" altLang="ja-JP" sz="1050">
              <a:solidFill>
                <a:schemeClr val="dk1"/>
              </a:solidFill>
              <a:effectLst/>
              <a:latin typeface="+mn-ea"/>
              <a:ea typeface="+mn-ea"/>
              <a:cs typeface="+mn-cs"/>
            </a:rPr>
            <a:t>※</a:t>
          </a:r>
          <a:r>
            <a:rPr kumimoji="1" lang="ja-JP" altLang="en-US" sz="1050" b="0">
              <a:solidFill>
                <a:sysClr val="windowText" lastClr="000000"/>
              </a:solidFill>
              <a:effectLst/>
              <a:latin typeface="+mn-ea"/>
              <a:ea typeface="+mn-ea"/>
              <a:cs typeface="+mn-cs"/>
            </a:rPr>
            <a:t>令和</a:t>
          </a:r>
          <a:r>
            <a:rPr kumimoji="1" lang="en-US" altLang="ja-JP" sz="1050" b="0">
              <a:solidFill>
                <a:sysClr val="windowText" lastClr="000000"/>
              </a:solidFill>
              <a:effectLst/>
              <a:latin typeface="+mn-ea"/>
              <a:ea typeface="+mn-ea"/>
              <a:cs typeface="+mn-cs"/>
            </a:rPr>
            <a:t>2</a:t>
          </a:r>
          <a:r>
            <a:rPr kumimoji="1" lang="ja-JP" altLang="ja-JP" sz="1050" b="0">
              <a:solidFill>
                <a:sysClr val="windowText" lastClr="000000"/>
              </a:solidFill>
              <a:effectLst/>
              <a:latin typeface="+mn-ea"/>
              <a:ea typeface="+mn-ea"/>
              <a:cs typeface="+mn-cs"/>
            </a:rPr>
            <a:t>年</a:t>
          </a:r>
          <a:r>
            <a:rPr kumimoji="1" lang="en-US" altLang="ja-JP" sz="1050" b="0">
              <a:solidFill>
                <a:sysClr val="windowText" lastClr="000000"/>
              </a:solidFill>
              <a:effectLst/>
              <a:latin typeface="+mn-ea"/>
              <a:ea typeface="+mn-ea"/>
              <a:cs typeface="+mn-cs"/>
            </a:rPr>
            <a:t>4</a:t>
          </a:r>
          <a:r>
            <a:rPr kumimoji="1" lang="ja-JP" altLang="ja-JP" sz="1050" b="0">
              <a:solidFill>
                <a:sysClr val="windowText" lastClr="000000"/>
              </a:solidFill>
              <a:effectLst/>
              <a:latin typeface="+mn-ea"/>
              <a:ea typeface="+mn-ea"/>
              <a:cs typeface="+mn-cs"/>
            </a:rPr>
            <a:t>月</a:t>
          </a:r>
          <a:r>
            <a:rPr kumimoji="1" lang="en-US" altLang="ja-JP" sz="1050" b="0">
              <a:solidFill>
                <a:sysClr val="windowText" lastClr="000000"/>
              </a:solidFill>
              <a:effectLst/>
              <a:latin typeface="+mn-ea"/>
              <a:ea typeface="+mn-ea"/>
              <a:cs typeface="+mn-cs"/>
            </a:rPr>
            <a:t>2</a:t>
          </a:r>
          <a:r>
            <a:rPr kumimoji="1" lang="ja-JP" altLang="ja-JP" sz="1050" b="0">
              <a:solidFill>
                <a:sysClr val="windowText" lastClr="000000"/>
              </a:solidFill>
              <a:effectLst/>
              <a:latin typeface="+mn-ea"/>
              <a:ea typeface="+mn-ea"/>
              <a:cs typeface="+mn-cs"/>
            </a:rPr>
            <a:t>日以降生まれの方</a:t>
          </a:r>
          <a:r>
            <a:rPr kumimoji="1" lang="ja-JP" altLang="ja-JP" sz="1050">
              <a:solidFill>
                <a:schemeClr val="dk1"/>
              </a:solidFill>
              <a:effectLst/>
              <a:latin typeface="+mn-ea"/>
              <a:ea typeface="+mn-ea"/>
              <a:cs typeface="+mn-cs"/>
            </a:rPr>
            <a:t>は「</a:t>
          </a:r>
          <a:r>
            <a:rPr kumimoji="1" lang="en-US" altLang="ja-JP" sz="1050">
              <a:solidFill>
                <a:schemeClr val="dk1"/>
              </a:solidFill>
              <a:effectLst/>
              <a:latin typeface="+mn-ea"/>
              <a:ea typeface="+mn-ea"/>
              <a:cs typeface="+mn-cs"/>
            </a:rPr>
            <a:t>0</a:t>
          </a:r>
          <a:r>
            <a:rPr kumimoji="1" lang="ja-JP" altLang="ja-JP" sz="1050">
              <a:solidFill>
                <a:schemeClr val="dk1"/>
              </a:solidFill>
              <a:effectLst/>
              <a:latin typeface="+mn-ea"/>
              <a:ea typeface="+mn-ea"/>
              <a:cs typeface="+mn-cs"/>
            </a:rPr>
            <a:t>歳～</a:t>
          </a:r>
          <a:r>
            <a:rPr kumimoji="1" lang="en-US" altLang="ja-JP" sz="1050">
              <a:solidFill>
                <a:schemeClr val="dk1"/>
              </a:solidFill>
              <a:effectLst/>
              <a:latin typeface="+mn-ea"/>
              <a:ea typeface="+mn-ea"/>
              <a:cs typeface="+mn-cs"/>
            </a:rPr>
            <a:t>6</a:t>
          </a:r>
          <a:r>
            <a:rPr kumimoji="1" lang="ja-JP" altLang="ja-JP" sz="1050">
              <a:solidFill>
                <a:schemeClr val="dk1"/>
              </a:solidFill>
              <a:effectLst/>
              <a:latin typeface="+mn-ea"/>
              <a:ea typeface="+mn-ea"/>
              <a:cs typeface="+mn-cs"/>
            </a:rPr>
            <a:t>歳」を選択してください。</a:t>
          </a:r>
          <a:r>
            <a:rPr kumimoji="1" lang="ja-JP" altLang="en-US" sz="1050">
              <a:solidFill>
                <a:schemeClr val="dk1"/>
              </a:solidFill>
              <a:effectLst/>
              <a:latin typeface="+mn-ea"/>
              <a:ea typeface="+mn-ea"/>
              <a:cs typeface="+mn-cs"/>
            </a:rPr>
            <a:t>　　　</a:t>
          </a:r>
          <a:endParaRPr kumimoji="1" lang="en-US" altLang="ja-JP" sz="1050">
            <a:solidFill>
              <a:schemeClr val="dk1"/>
            </a:solidFill>
            <a:effectLst/>
            <a:latin typeface="+mn-ea"/>
            <a:ea typeface="+mn-ea"/>
            <a:cs typeface="+mn-cs"/>
          </a:endParaRPr>
        </a:p>
        <a:p>
          <a:r>
            <a:rPr kumimoji="1" lang="ja-JP" altLang="en-US" sz="1050">
              <a:solidFill>
                <a:schemeClr val="dk1"/>
              </a:solidFill>
              <a:effectLst/>
              <a:latin typeface="+mn-ea"/>
              <a:ea typeface="+mn-ea"/>
              <a:cs typeface="+mn-cs"/>
            </a:rPr>
            <a:t>　　　</a:t>
          </a:r>
          <a:r>
            <a:rPr kumimoji="1" lang="en-US" altLang="ja-JP" sz="1050">
              <a:solidFill>
                <a:schemeClr val="dk1"/>
              </a:solidFill>
              <a:effectLst/>
              <a:latin typeface="+mn-ea"/>
              <a:ea typeface="+mn-ea"/>
              <a:cs typeface="+mn-cs"/>
            </a:rPr>
            <a:t>※18</a:t>
          </a:r>
          <a:r>
            <a:rPr kumimoji="1" lang="ja-JP" altLang="en-US" sz="1050">
              <a:solidFill>
                <a:schemeClr val="dk1"/>
              </a:solidFill>
              <a:effectLst/>
              <a:latin typeface="+mn-ea"/>
              <a:ea typeface="+mn-ea"/>
              <a:cs typeface="+mn-cs"/>
            </a:rPr>
            <a:t>歳に達する日以後の最初の</a:t>
          </a:r>
          <a:r>
            <a:rPr kumimoji="1" lang="en-US" altLang="ja-JP" sz="1050">
              <a:solidFill>
                <a:schemeClr val="dk1"/>
              </a:solidFill>
              <a:effectLst/>
              <a:latin typeface="+mn-ea"/>
              <a:ea typeface="+mn-ea"/>
              <a:cs typeface="+mn-cs"/>
            </a:rPr>
            <a:t>3</a:t>
          </a:r>
          <a:r>
            <a:rPr kumimoji="1" lang="ja-JP" altLang="en-US" sz="1050">
              <a:solidFill>
                <a:schemeClr val="dk1"/>
              </a:solidFill>
              <a:effectLst/>
              <a:latin typeface="+mn-ea"/>
              <a:ea typeface="+mn-ea"/>
              <a:cs typeface="+mn-cs"/>
            </a:rPr>
            <a:t>月</a:t>
          </a:r>
          <a:r>
            <a:rPr kumimoji="1" lang="en-US" altLang="ja-JP" sz="1050">
              <a:solidFill>
                <a:schemeClr val="dk1"/>
              </a:solidFill>
              <a:effectLst/>
              <a:latin typeface="+mn-ea"/>
              <a:ea typeface="+mn-ea"/>
              <a:cs typeface="+mn-cs"/>
            </a:rPr>
            <a:t>31</a:t>
          </a:r>
          <a:r>
            <a:rPr kumimoji="1" lang="ja-JP" altLang="en-US" sz="1050">
              <a:solidFill>
                <a:schemeClr val="dk1"/>
              </a:solidFill>
              <a:effectLst/>
              <a:latin typeface="+mn-ea"/>
              <a:ea typeface="+mn-ea"/>
              <a:cs typeface="+mn-cs"/>
            </a:rPr>
            <a:t>日以前である方は「</a:t>
          </a:r>
          <a:r>
            <a:rPr kumimoji="1" lang="en-US" altLang="ja-JP" sz="1050">
              <a:solidFill>
                <a:schemeClr val="dk1"/>
              </a:solidFill>
              <a:effectLst/>
              <a:latin typeface="+mn-ea"/>
              <a:ea typeface="+mn-ea"/>
              <a:cs typeface="+mn-cs"/>
            </a:rPr>
            <a:t>6</a:t>
          </a:r>
          <a:r>
            <a:rPr kumimoji="1" lang="ja-JP" altLang="en-US" sz="1050">
              <a:solidFill>
                <a:schemeClr val="dk1"/>
              </a:solidFill>
              <a:effectLst/>
              <a:latin typeface="+mn-ea"/>
              <a:ea typeface="+mn-ea"/>
              <a:cs typeface="+mn-cs"/>
            </a:rPr>
            <a:t>歳～</a:t>
          </a:r>
          <a:r>
            <a:rPr kumimoji="1" lang="en-US" altLang="ja-JP" sz="1050">
              <a:solidFill>
                <a:schemeClr val="dk1"/>
              </a:solidFill>
              <a:effectLst/>
              <a:latin typeface="+mn-ea"/>
              <a:ea typeface="+mn-ea"/>
              <a:cs typeface="+mn-cs"/>
            </a:rPr>
            <a:t>18</a:t>
          </a:r>
          <a:r>
            <a:rPr kumimoji="1" lang="ja-JP" altLang="en-US" sz="1050">
              <a:solidFill>
                <a:schemeClr val="dk1"/>
              </a:solidFill>
              <a:effectLst/>
              <a:latin typeface="+mn-ea"/>
              <a:ea typeface="+mn-ea"/>
              <a:cs typeface="+mn-cs"/>
            </a:rPr>
            <a:t>歳」を選択してください。</a:t>
          </a:r>
        </a:p>
        <a:p>
          <a:r>
            <a:rPr kumimoji="1" lang="ja-JP" altLang="en-US" sz="1050">
              <a:solidFill>
                <a:schemeClr val="dk1"/>
              </a:solidFill>
              <a:effectLst/>
              <a:latin typeface="+mn-ea"/>
              <a:ea typeface="+mn-ea"/>
              <a:cs typeface="+mn-cs"/>
            </a:rPr>
            <a:t>                （年齢計算ニ関スル法律に基づき、年齢は誕生日の前日に</a:t>
          </a:r>
          <a:r>
            <a:rPr kumimoji="1" lang="en-US" altLang="ja-JP" sz="1050">
              <a:solidFill>
                <a:schemeClr val="dk1"/>
              </a:solidFill>
              <a:effectLst/>
              <a:latin typeface="+mn-ea"/>
              <a:ea typeface="+mn-ea"/>
              <a:cs typeface="+mn-cs"/>
            </a:rPr>
            <a:t>1</a:t>
          </a:r>
          <a:r>
            <a:rPr kumimoji="1" lang="ja-JP" altLang="en-US" sz="1050">
              <a:solidFill>
                <a:schemeClr val="dk1"/>
              </a:solidFill>
              <a:effectLst/>
              <a:latin typeface="+mn-ea"/>
              <a:ea typeface="+mn-ea"/>
              <a:cs typeface="+mn-cs"/>
            </a:rPr>
            <a:t>歳加算されます。</a:t>
          </a:r>
          <a:r>
            <a:rPr kumimoji="1" lang="en-US" altLang="ja-JP" sz="1050">
              <a:solidFill>
                <a:schemeClr val="dk1"/>
              </a:solidFill>
              <a:effectLst/>
              <a:latin typeface="+mn-ea"/>
              <a:ea typeface="+mn-ea"/>
              <a:cs typeface="+mn-cs"/>
            </a:rPr>
            <a:t>4</a:t>
          </a:r>
          <a:r>
            <a:rPr kumimoji="1" lang="ja-JP" altLang="en-US" sz="1050">
              <a:solidFill>
                <a:schemeClr val="dk1"/>
              </a:solidFill>
              <a:effectLst/>
              <a:latin typeface="+mn-ea"/>
              <a:ea typeface="+mn-ea"/>
              <a:cs typeface="+mn-cs"/>
            </a:rPr>
            <a:t>月</a:t>
          </a:r>
          <a:r>
            <a:rPr kumimoji="1" lang="en-US" altLang="ja-JP" sz="1050">
              <a:solidFill>
                <a:schemeClr val="dk1"/>
              </a:solidFill>
              <a:effectLst/>
              <a:latin typeface="+mn-ea"/>
              <a:ea typeface="+mn-ea"/>
              <a:cs typeface="+mn-cs"/>
            </a:rPr>
            <a:t>1</a:t>
          </a:r>
          <a:r>
            <a:rPr kumimoji="1" lang="ja-JP" altLang="en-US" sz="1050">
              <a:solidFill>
                <a:schemeClr val="dk1"/>
              </a:solidFill>
              <a:effectLst/>
              <a:latin typeface="+mn-ea"/>
              <a:ea typeface="+mn-ea"/>
              <a:cs typeface="+mn-cs"/>
            </a:rPr>
            <a:t>日が</a:t>
          </a:r>
          <a:r>
            <a:rPr kumimoji="1" lang="en-US" altLang="ja-JP" sz="1050">
              <a:solidFill>
                <a:schemeClr val="dk1"/>
              </a:solidFill>
              <a:effectLst/>
              <a:latin typeface="+mn-ea"/>
              <a:ea typeface="+mn-ea"/>
              <a:cs typeface="+mn-cs"/>
            </a:rPr>
            <a:t>18</a:t>
          </a:r>
          <a:r>
            <a:rPr kumimoji="1" lang="ja-JP" altLang="en-US" sz="1050">
              <a:solidFill>
                <a:schemeClr val="dk1"/>
              </a:solidFill>
              <a:effectLst/>
              <a:latin typeface="+mn-ea"/>
              <a:ea typeface="+mn-ea"/>
              <a:cs typeface="+mn-cs"/>
            </a:rPr>
            <a:t>歳の誕生日である場合、</a:t>
          </a:r>
        </a:p>
        <a:p>
          <a:r>
            <a:rPr kumimoji="1" lang="ja-JP" altLang="en-US" sz="1050">
              <a:solidFill>
                <a:schemeClr val="dk1"/>
              </a:solidFill>
              <a:effectLst/>
              <a:latin typeface="+mn-ea"/>
              <a:ea typeface="+mn-ea"/>
              <a:cs typeface="+mn-cs"/>
            </a:rPr>
            <a:t>　　　</a:t>
          </a:r>
          <a:r>
            <a:rPr kumimoji="1" lang="ja-JP" altLang="en-US" sz="1050">
              <a:solidFill>
                <a:sysClr val="windowText" lastClr="000000"/>
              </a:solidFill>
              <a:effectLst/>
              <a:latin typeface="+mn-ea"/>
              <a:ea typeface="+mn-ea"/>
              <a:cs typeface="+mn-cs"/>
            </a:rPr>
            <a:t>　誕生日の前日である</a:t>
          </a:r>
          <a:r>
            <a:rPr kumimoji="1" lang="en-US" altLang="ja-JP" sz="1050">
              <a:solidFill>
                <a:sysClr val="windowText" lastClr="000000"/>
              </a:solidFill>
              <a:effectLst/>
              <a:latin typeface="+mn-ea"/>
              <a:ea typeface="+mn-ea"/>
              <a:cs typeface="+mn-cs"/>
            </a:rPr>
            <a:t>3</a:t>
          </a:r>
          <a:r>
            <a:rPr kumimoji="1" lang="ja-JP" altLang="en-US" sz="1050">
              <a:solidFill>
                <a:sysClr val="windowText" lastClr="000000"/>
              </a:solidFill>
              <a:effectLst/>
              <a:latin typeface="+mn-ea"/>
              <a:ea typeface="+mn-ea"/>
              <a:cs typeface="+mn-cs"/>
            </a:rPr>
            <a:t>月</a:t>
          </a:r>
          <a:r>
            <a:rPr kumimoji="1" lang="en-US" altLang="ja-JP" sz="1050">
              <a:solidFill>
                <a:sysClr val="windowText" lastClr="000000"/>
              </a:solidFill>
              <a:effectLst/>
              <a:latin typeface="+mn-ea"/>
              <a:ea typeface="+mn-ea"/>
              <a:cs typeface="+mn-cs"/>
            </a:rPr>
            <a:t>31</a:t>
          </a:r>
          <a:r>
            <a:rPr kumimoji="1" lang="ja-JP" altLang="en-US" sz="1050">
              <a:solidFill>
                <a:sysClr val="windowText" lastClr="000000"/>
              </a:solidFill>
              <a:effectLst/>
              <a:latin typeface="+mn-ea"/>
              <a:ea typeface="+mn-ea"/>
              <a:cs typeface="+mn-cs"/>
            </a:rPr>
            <a:t>日が</a:t>
          </a:r>
          <a:r>
            <a:rPr kumimoji="1" lang="en-US" altLang="ja-JP" sz="1050">
              <a:solidFill>
                <a:sysClr val="windowText" lastClr="000000"/>
              </a:solidFill>
              <a:effectLst/>
              <a:latin typeface="+mn-ea"/>
              <a:ea typeface="+mn-ea"/>
              <a:cs typeface="+mn-cs"/>
            </a:rPr>
            <a:t>18</a:t>
          </a:r>
          <a:r>
            <a:rPr kumimoji="1" lang="ja-JP" altLang="en-US" sz="1050">
              <a:solidFill>
                <a:sysClr val="windowText" lastClr="000000"/>
              </a:solidFill>
              <a:effectLst/>
              <a:latin typeface="+mn-ea"/>
              <a:ea typeface="+mn-ea"/>
              <a:cs typeface="+mn-cs"/>
            </a:rPr>
            <a:t>歳に達する日となり、その日が</a:t>
          </a:r>
          <a:r>
            <a:rPr kumimoji="1" lang="en-US" altLang="ja-JP" sz="1050">
              <a:solidFill>
                <a:sysClr val="windowText" lastClr="000000"/>
              </a:solidFill>
              <a:effectLst/>
              <a:latin typeface="+mn-ea"/>
              <a:ea typeface="+mn-ea"/>
              <a:cs typeface="+mn-cs"/>
            </a:rPr>
            <a:t>18</a:t>
          </a:r>
          <a:r>
            <a:rPr kumimoji="1" lang="ja-JP" altLang="en-US" sz="1050">
              <a:solidFill>
                <a:sysClr val="windowText" lastClr="000000"/>
              </a:solidFill>
              <a:effectLst/>
              <a:latin typeface="+mn-ea"/>
              <a:ea typeface="+mn-ea"/>
              <a:cs typeface="+mn-cs"/>
            </a:rPr>
            <a:t>歳に達する日以後の最初の</a:t>
          </a:r>
          <a:r>
            <a:rPr kumimoji="1" lang="en-US" altLang="ja-JP" sz="1050">
              <a:solidFill>
                <a:sysClr val="windowText" lastClr="000000"/>
              </a:solidFill>
              <a:effectLst/>
              <a:latin typeface="+mn-ea"/>
              <a:ea typeface="+mn-ea"/>
              <a:cs typeface="+mn-cs"/>
            </a:rPr>
            <a:t>3</a:t>
          </a:r>
          <a:r>
            <a:rPr kumimoji="1" lang="ja-JP" altLang="en-US" sz="1050">
              <a:solidFill>
                <a:sysClr val="windowText" lastClr="000000"/>
              </a:solidFill>
              <a:effectLst/>
              <a:latin typeface="+mn-ea"/>
              <a:ea typeface="+mn-ea"/>
              <a:cs typeface="+mn-cs"/>
            </a:rPr>
            <a:t>月</a:t>
          </a:r>
          <a:r>
            <a:rPr kumimoji="1" lang="en-US" altLang="ja-JP" sz="1050">
              <a:solidFill>
                <a:sysClr val="windowText" lastClr="000000"/>
              </a:solidFill>
              <a:effectLst/>
              <a:latin typeface="+mn-ea"/>
              <a:ea typeface="+mn-ea"/>
              <a:cs typeface="+mn-cs"/>
            </a:rPr>
            <a:t>31</a:t>
          </a:r>
          <a:r>
            <a:rPr kumimoji="1" lang="ja-JP" altLang="en-US" sz="1050">
              <a:solidFill>
                <a:sysClr val="windowText" lastClr="000000"/>
              </a:solidFill>
              <a:effectLst/>
              <a:latin typeface="+mn-ea"/>
              <a:ea typeface="+mn-ea"/>
              <a:cs typeface="+mn-cs"/>
            </a:rPr>
            <a:t>日となります。）</a:t>
          </a:r>
        </a:p>
        <a:p>
          <a:r>
            <a:rPr kumimoji="1" lang="ja-JP" altLang="ja-JP" sz="1050">
              <a:solidFill>
                <a:sysClr val="windowText" lastClr="000000"/>
              </a:solidFill>
              <a:effectLst/>
              <a:latin typeface="+mn-ea"/>
              <a:ea typeface="+mn-ea"/>
              <a:cs typeface="+mn-cs"/>
            </a:rPr>
            <a:t>（２）</a:t>
          </a:r>
          <a:r>
            <a:rPr kumimoji="1" lang="ja-JP" altLang="en-US" sz="1050">
              <a:solidFill>
                <a:sysClr val="windowText" lastClr="000000"/>
              </a:solidFill>
              <a:effectLst/>
              <a:latin typeface="+mn-ea"/>
              <a:ea typeface="+mn-ea"/>
              <a:cs typeface="+mn-cs"/>
            </a:rPr>
            <a:t>世帯主及び</a:t>
          </a:r>
          <a:r>
            <a:rPr kumimoji="1" lang="ja-JP" altLang="ja-JP" sz="1050">
              <a:solidFill>
                <a:sysClr val="windowText" lastClr="000000"/>
              </a:solidFill>
              <a:effectLst/>
              <a:latin typeface="+mn-ea"/>
              <a:ea typeface="+mn-ea"/>
              <a:cs typeface="+mn-cs"/>
            </a:rPr>
            <a:t>加入者は、</a:t>
          </a:r>
          <a:r>
            <a:rPr kumimoji="1" lang="ja-JP" altLang="ja-JP" sz="1050" baseline="0">
              <a:solidFill>
                <a:sysClr val="windowText" lastClr="000000"/>
              </a:solidFill>
              <a:effectLst/>
              <a:latin typeface="+mn-ea"/>
              <a:ea typeface="+mn-ea"/>
              <a:cs typeface="+mn-cs"/>
            </a:rPr>
            <a:t>令和</a:t>
          </a:r>
          <a:r>
            <a:rPr kumimoji="1" lang="en-US" altLang="ja-JP" sz="1050" baseline="0">
              <a:solidFill>
                <a:sysClr val="windowText" lastClr="000000"/>
              </a:solidFill>
              <a:effectLst/>
              <a:latin typeface="+mn-ea"/>
              <a:ea typeface="+mn-ea"/>
              <a:cs typeface="+mn-cs"/>
            </a:rPr>
            <a:t>7</a:t>
          </a:r>
          <a:r>
            <a:rPr kumimoji="1" lang="ja-JP" altLang="ja-JP" sz="1050" baseline="0">
              <a:solidFill>
                <a:sysClr val="windowText" lastClr="000000"/>
              </a:solidFill>
              <a:effectLst/>
              <a:latin typeface="+mn-ea"/>
              <a:ea typeface="+mn-ea"/>
              <a:cs typeface="+mn-cs"/>
            </a:rPr>
            <a:t>年</a:t>
          </a:r>
          <a:r>
            <a:rPr kumimoji="1" lang="en-US" altLang="ja-JP" sz="1050" baseline="0">
              <a:solidFill>
                <a:sysClr val="windowText" lastClr="000000"/>
              </a:solidFill>
              <a:effectLst/>
              <a:latin typeface="+mn-ea"/>
              <a:ea typeface="+mn-ea"/>
              <a:cs typeface="+mn-cs"/>
            </a:rPr>
            <a:t>1</a:t>
          </a:r>
          <a:r>
            <a:rPr kumimoji="1" lang="ja-JP" altLang="ja-JP" sz="1050" baseline="0">
              <a:solidFill>
                <a:sysClr val="windowText" lastClr="000000"/>
              </a:solidFill>
              <a:effectLst/>
              <a:latin typeface="+mn-ea"/>
              <a:ea typeface="+mn-ea"/>
              <a:cs typeface="+mn-cs"/>
            </a:rPr>
            <a:t>～</a:t>
          </a:r>
          <a:r>
            <a:rPr kumimoji="1" lang="en-US" altLang="ja-JP" sz="1050" baseline="0">
              <a:solidFill>
                <a:sysClr val="windowText" lastClr="000000"/>
              </a:solidFill>
              <a:effectLst/>
              <a:latin typeface="+mn-ea"/>
              <a:ea typeface="+mn-ea"/>
              <a:cs typeface="+mn-cs"/>
            </a:rPr>
            <a:t>12</a:t>
          </a:r>
          <a:r>
            <a:rPr kumimoji="1" lang="ja-JP" altLang="ja-JP" sz="1050" baseline="0">
              <a:solidFill>
                <a:sysClr val="windowText" lastClr="000000"/>
              </a:solidFill>
              <a:effectLst/>
              <a:latin typeface="+mn-ea"/>
              <a:ea typeface="+mn-ea"/>
              <a:cs typeface="+mn-cs"/>
            </a:rPr>
            <a:t>月の</a:t>
          </a:r>
          <a:r>
            <a:rPr kumimoji="1" lang="ja-JP" altLang="en-US" sz="1050" baseline="0">
              <a:solidFill>
                <a:sysClr val="windowText" lastClr="000000"/>
              </a:solidFill>
              <a:effectLst/>
              <a:latin typeface="+mn-ea"/>
              <a:ea typeface="+mn-ea"/>
              <a:cs typeface="+mn-cs"/>
            </a:rPr>
            <a:t>給与収入・</a:t>
          </a:r>
          <a:r>
            <a:rPr kumimoji="1" lang="ja-JP" altLang="ja-JP" sz="1050">
              <a:solidFill>
                <a:sysClr val="windowText" lastClr="000000"/>
              </a:solidFill>
              <a:effectLst/>
              <a:latin typeface="+mn-ea"/>
              <a:ea typeface="+mn-ea"/>
              <a:cs typeface="+mn-cs"/>
            </a:rPr>
            <a:t>給与所得・年金所得・その他所得を入力してください。</a:t>
          </a:r>
          <a:endParaRPr lang="ja-JP" altLang="ja-JP" sz="1050">
            <a:solidFill>
              <a:sysClr val="windowText" lastClr="000000"/>
            </a:solidFill>
            <a:effectLst/>
            <a:latin typeface="+mn-ea"/>
            <a:ea typeface="+mn-ea"/>
          </a:endParaRPr>
        </a:p>
        <a:p>
          <a:r>
            <a:rPr kumimoji="1" lang="ja-JP" altLang="ja-JP" sz="1050">
              <a:solidFill>
                <a:sysClr val="windowText" lastClr="000000"/>
              </a:solidFill>
              <a:effectLst/>
              <a:latin typeface="+mn-ea"/>
              <a:ea typeface="+mn-ea"/>
              <a:cs typeface="+mn-cs"/>
            </a:rPr>
            <a:t>　　　</a:t>
          </a:r>
          <a:r>
            <a:rPr kumimoji="1" lang="en-US" altLang="ja-JP" sz="105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収入・</a:t>
          </a:r>
          <a:r>
            <a:rPr kumimoji="1" lang="ja-JP" altLang="ja-JP" sz="1050">
              <a:solidFill>
                <a:sysClr val="windowText" lastClr="000000"/>
              </a:solidFill>
              <a:effectLst/>
              <a:latin typeface="+mn-ea"/>
              <a:ea typeface="+mn-ea"/>
              <a:cs typeface="+mn-cs"/>
            </a:rPr>
            <a:t>所得が</a:t>
          </a:r>
          <a:r>
            <a:rPr kumimoji="1" lang="en-US" altLang="ja-JP" sz="1050">
              <a:solidFill>
                <a:sysClr val="windowText" lastClr="000000"/>
              </a:solidFill>
              <a:effectLst/>
              <a:latin typeface="+mn-ea"/>
              <a:ea typeface="+mn-ea"/>
              <a:cs typeface="+mn-cs"/>
            </a:rPr>
            <a:t>0</a:t>
          </a:r>
          <a:r>
            <a:rPr kumimoji="1" lang="ja-JP" altLang="ja-JP" sz="1050">
              <a:solidFill>
                <a:sysClr val="windowText" lastClr="000000"/>
              </a:solidFill>
              <a:effectLst/>
              <a:latin typeface="+mn-ea"/>
              <a:ea typeface="+mn-ea"/>
              <a:cs typeface="+mn-cs"/>
            </a:rPr>
            <a:t>円の場合でも、</a:t>
          </a:r>
          <a:r>
            <a:rPr kumimoji="1" lang="en-US" altLang="ja-JP" sz="1050">
              <a:solidFill>
                <a:sysClr val="windowText" lastClr="000000"/>
              </a:solidFill>
              <a:effectLst/>
              <a:latin typeface="+mn-ea"/>
              <a:ea typeface="+mn-ea"/>
              <a:cs typeface="+mn-cs"/>
            </a:rPr>
            <a:t>0</a:t>
          </a:r>
          <a:r>
            <a:rPr kumimoji="1" lang="ja-JP" altLang="ja-JP" sz="1050">
              <a:solidFill>
                <a:sysClr val="windowText" lastClr="000000"/>
              </a:solidFill>
              <a:effectLst/>
              <a:latin typeface="+mn-ea"/>
              <a:ea typeface="+mn-ea"/>
              <a:cs typeface="+mn-cs"/>
            </a:rPr>
            <a:t>と入力してください。</a:t>
          </a:r>
          <a:endParaRPr lang="ja-JP" altLang="ja-JP" sz="1050">
            <a:solidFill>
              <a:sysClr val="windowText" lastClr="000000"/>
            </a:solidFill>
            <a:effectLst/>
            <a:latin typeface="+mn-ea"/>
            <a:ea typeface="+mn-ea"/>
          </a:endParaRPr>
        </a:p>
        <a:p>
          <a:pPr eaLnBrk="1" fontAlgn="auto" latinLnBrk="0" hangingPunct="1"/>
          <a:r>
            <a:rPr kumimoji="1" lang="ja-JP" altLang="ja-JP" sz="1050" b="0" i="0" baseline="0">
              <a:solidFill>
                <a:sysClr val="windowText" lastClr="000000"/>
              </a:solidFill>
              <a:effectLst/>
              <a:latin typeface="+mn-ea"/>
              <a:ea typeface="+mn-ea"/>
              <a:cs typeface="+mn-cs"/>
            </a:rPr>
            <a:t>　　　</a:t>
          </a:r>
          <a:r>
            <a:rPr kumimoji="1" lang="en-US" altLang="ja-JP" sz="1050" b="0" i="0" baseline="0">
              <a:solidFill>
                <a:sysClr val="windowText" lastClr="000000"/>
              </a:solidFill>
              <a:effectLst/>
              <a:latin typeface="+mn-ea"/>
              <a:ea typeface="+mn-ea"/>
              <a:cs typeface="+mn-cs"/>
            </a:rPr>
            <a:t>※</a:t>
          </a:r>
          <a:r>
            <a:rPr kumimoji="1" lang="ja-JP" altLang="ja-JP" sz="1050" b="0" i="0" baseline="0">
              <a:solidFill>
                <a:sysClr val="windowText" lastClr="000000"/>
              </a:solidFill>
              <a:effectLst/>
              <a:latin typeface="+mn-ea"/>
              <a:ea typeface="+mn-ea"/>
              <a:cs typeface="+mn-cs"/>
            </a:rPr>
            <a:t>給与・年金以外の所得（</a:t>
          </a:r>
          <a:r>
            <a:rPr kumimoji="1" lang="en-US" altLang="ja-JP" sz="1050" b="0" i="0" baseline="0">
              <a:solidFill>
                <a:sysClr val="windowText" lastClr="000000"/>
              </a:solidFill>
              <a:effectLst/>
              <a:latin typeface="+mn-ea"/>
              <a:ea typeface="+mn-ea"/>
              <a:cs typeface="+mn-cs"/>
            </a:rPr>
            <a:t>※</a:t>
          </a:r>
          <a:r>
            <a:rPr kumimoji="1" lang="ja-JP" altLang="ja-JP" sz="1050" b="0" i="0" baseline="0">
              <a:solidFill>
                <a:sysClr val="windowText" lastClr="000000"/>
              </a:solidFill>
              <a:effectLst/>
              <a:latin typeface="+mn-ea"/>
              <a:ea typeface="+mn-ea"/>
              <a:cs typeface="+mn-cs"/>
            </a:rPr>
            <a:t>試算の注意事項</a:t>
          </a:r>
          <a:r>
            <a:rPr kumimoji="1" lang="en-US" altLang="ja-JP" sz="1050" b="0" i="0" baseline="0">
              <a:solidFill>
                <a:sysClr val="windowText" lastClr="000000"/>
              </a:solidFill>
              <a:effectLst/>
              <a:latin typeface="+mn-ea"/>
              <a:ea typeface="+mn-ea"/>
              <a:cs typeface="+mn-cs"/>
            </a:rPr>
            <a:t>5</a:t>
          </a:r>
          <a:r>
            <a:rPr kumimoji="1" lang="ja-JP" altLang="ja-JP" sz="1050" b="0" i="0" baseline="0">
              <a:solidFill>
                <a:sysClr val="windowText" lastClr="000000"/>
              </a:solidFill>
              <a:effectLst/>
              <a:latin typeface="+mn-ea"/>
              <a:ea typeface="+mn-ea"/>
              <a:cs typeface="+mn-cs"/>
            </a:rPr>
            <a:t>番を参照）がある方は、その他所得欄に所得</a:t>
          </a:r>
          <a:r>
            <a:rPr kumimoji="1" lang="ja-JP" altLang="ja-JP" sz="1050" b="0" i="0" baseline="0">
              <a:solidFill>
                <a:sysClr val="windowText" lastClr="000000"/>
              </a:solidFill>
              <a:effectLst/>
              <a:latin typeface="+mn-lt"/>
              <a:ea typeface="+mn-ea"/>
              <a:cs typeface="+mn-cs"/>
            </a:rPr>
            <a:t>金額を入力してください。</a:t>
          </a:r>
          <a:endParaRPr lang="ja-JP" altLang="ja-JP" sz="1050">
            <a:solidFill>
              <a:sysClr val="windowText" lastClr="000000"/>
            </a:solidFill>
            <a:effectLst/>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050" b="1" i="0" u="none" strike="noStrike" kern="0" cap="none" spc="0" normalizeH="0" baseline="0" noProof="0">
              <a:ln>
                <a:noFill/>
              </a:ln>
              <a:solidFill>
                <a:sysClr val="windowText" lastClr="000000"/>
              </a:solidFill>
              <a:effectLst/>
              <a:uLnTx/>
              <a:uFillTx/>
              <a:latin typeface="+mn-lt"/>
              <a:ea typeface="+mn-ea"/>
              <a:cs typeface="+mn-cs"/>
            </a:rPr>
            <a:t>給与収入・給与所得の確認方法、公的年金等所得の計算方法については、下記ボタンを押した先のリンク</a:t>
          </a:r>
          <a:r>
            <a:rPr kumimoji="1" lang="ja-JP" altLang="en-US" sz="1050" b="1" i="0" u="none" strike="noStrike" kern="0" cap="none" spc="0" normalizeH="0" baseline="0" noProof="0">
              <a:ln>
                <a:noFill/>
              </a:ln>
              <a:solidFill>
                <a:prstClr val="black"/>
              </a:solidFill>
              <a:effectLst/>
              <a:uLnTx/>
              <a:uFillTx/>
              <a:latin typeface="+mn-lt"/>
              <a:ea typeface="+mn-ea"/>
              <a:cs typeface="+mn-cs"/>
            </a:rPr>
            <a:t>を</a:t>
          </a:r>
          <a:r>
            <a:rPr kumimoji="1" lang="ja-JP" altLang="en-US" sz="1050" b="1" i="0" u="none" strike="noStrike" kern="0" cap="none" spc="0" normalizeH="0" baseline="0" noProof="0">
              <a:ln>
                <a:noFill/>
              </a:ln>
              <a:solidFill>
                <a:sysClr val="windowText" lastClr="000000"/>
              </a:solidFill>
              <a:effectLst/>
              <a:uLnTx/>
              <a:uFillTx/>
              <a:latin typeface="+mn-lt"/>
              <a:ea typeface="+mn-ea"/>
              <a:cs typeface="+mn-cs"/>
            </a:rPr>
            <a:t>ご参考にしてください</a:t>
          </a:r>
          <a:r>
            <a:rPr kumimoji="1" lang="ja-JP" altLang="en-US" sz="1050" b="1" i="0" u="none" strike="noStrike" kern="0" cap="none" spc="0" normalizeH="0" baseline="0" noProof="0">
              <a:ln>
                <a:noFill/>
              </a:ln>
              <a:solidFill>
                <a:prstClr val="black"/>
              </a:solidFill>
              <a:effectLst/>
              <a:uLnTx/>
              <a:uFillTx/>
              <a:latin typeface="+mn-lt"/>
              <a:ea typeface="+mn-ea"/>
              <a:cs typeface="+mn-cs"/>
            </a:rPr>
            <a:t>。</a:t>
          </a:r>
          <a:endParaRPr kumimoji="1" lang="en-US" altLang="ja-JP" sz="1050" b="1"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en-US"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en-US"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en-US"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en-US"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　　</a:t>
          </a:r>
          <a:endParaRPr kumimoji="1" lang="en-US"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ea"/>
              <a:ea typeface="+mn-ea"/>
              <a:cs typeface="+mn-cs"/>
            </a:rPr>
            <a:t>（３</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）加入しない世帯主も、</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B3</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セルで「加入しない」を選択して上記（１）（２）を入力してください。</a:t>
          </a: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（４）退職理由が会社都合の方</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注</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は、「退職理由（軽減判定用）」欄で「会社都合退職」を選択してください。</a:t>
          </a:r>
          <a:endParaRPr kumimoji="1" lang="en-US" altLang="ja-JP" sz="105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lang="ja-JP" altLang="en-US" sz="1100" b="0" i="0">
              <a:solidFill>
                <a:sysClr val="windowText" lastClr="000000"/>
              </a:solidFill>
              <a:effectLst/>
              <a:latin typeface="+mn-ea"/>
              <a:ea typeface="+mn-ea"/>
              <a:cs typeface="+mn-cs"/>
            </a:rPr>
            <a:t>　　</a:t>
          </a:r>
          <a:r>
            <a:rPr lang="en-US" altLang="ja-JP" sz="1100" b="0" i="0">
              <a:solidFill>
                <a:sysClr val="windowText" lastClr="000000"/>
              </a:solidFill>
              <a:effectLst/>
              <a:latin typeface="+mn-ea"/>
              <a:ea typeface="+mn-ea"/>
              <a:cs typeface="+mn-cs"/>
            </a:rPr>
            <a:t>【</a:t>
          </a:r>
          <a:r>
            <a:rPr lang="ja-JP" altLang="en-US" sz="1100" b="0" i="0">
              <a:solidFill>
                <a:sysClr val="windowText" lastClr="000000"/>
              </a:solidFill>
              <a:effectLst/>
              <a:latin typeface="+mn-ea"/>
              <a:ea typeface="+mn-ea"/>
              <a:cs typeface="+mn-cs"/>
            </a:rPr>
            <a:t>注</a:t>
          </a:r>
          <a:r>
            <a:rPr lang="en-US" altLang="ja-JP" sz="1100" b="0" i="0">
              <a:solidFill>
                <a:sysClr val="windowText" lastClr="000000"/>
              </a:solidFill>
              <a:effectLst/>
              <a:latin typeface="+mn-ea"/>
              <a:ea typeface="+mn-ea"/>
              <a:cs typeface="+mn-cs"/>
            </a:rPr>
            <a:t>】</a:t>
          </a:r>
          <a:r>
            <a:rPr lang="ja-JP" altLang="en-US" sz="1100" b="0" i="0">
              <a:solidFill>
                <a:sysClr val="windowText" lastClr="000000"/>
              </a:solidFill>
              <a:effectLst/>
              <a:latin typeface="+mn-ea"/>
              <a:ea typeface="+mn-ea"/>
              <a:cs typeface="+mn-cs"/>
            </a:rPr>
            <a:t>軽減が適用されるには届出が必要です。</a:t>
          </a:r>
          <a:r>
            <a:rPr lang="en-US" altLang="ja-JP" sz="1100" b="0" i="0">
              <a:solidFill>
                <a:sysClr val="windowText" lastClr="000000"/>
              </a:solidFill>
              <a:effectLst/>
              <a:latin typeface="+mn-ea"/>
              <a:ea typeface="+mn-ea"/>
              <a:cs typeface="+mn-cs"/>
            </a:rPr>
            <a:t>65</a:t>
          </a:r>
          <a:r>
            <a:rPr lang="ja-JP" altLang="en-US" sz="1100" b="0" i="0">
              <a:solidFill>
                <a:sysClr val="windowText" lastClr="000000"/>
              </a:solidFill>
              <a:effectLst/>
              <a:latin typeface="+mn-ea"/>
              <a:ea typeface="+mn-ea"/>
              <a:cs typeface="+mn-cs"/>
            </a:rPr>
            <a:t>歳未満で雇用保険受給資格者証または雇用保険受給資格通知に記載されている離職理由の</a:t>
          </a:r>
          <a:endParaRPr lang="en-US" altLang="ja-JP" sz="1100" b="0" i="0">
            <a:solidFill>
              <a:sysClr val="windowText" lastClr="000000"/>
            </a:solidFill>
            <a:effectLst/>
            <a:latin typeface="+mn-ea"/>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lang="ja-JP" altLang="en-US" sz="1100" b="0" i="0">
              <a:solidFill>
                <a:sysClr val="windowText" lastClr="000000"/>
              </a:solidFill>
              <a:effectLst/>
              <a:latin typeface="+mn-ea"/>
              <a:ea typeface="+mn-ea"/>
              <a:cs typeface="+mn-cs"/>
            </a:rPr>
            <a:t>　　　　　番号が</a:t>
          </a:r>
          <a:r>
            <a:rPr lang="en-US" altLang="ja-JP" sz="1100" b="0" i="0">
              <a:solidFill>
                <a:sysClr val="windowText" lastClr="000000"/>
              </a:solidFill>
              <a:effectLst/>
              <a:latin typeface="+mn-ea"/>
              <a:ea typeface="+mn-ea"/>
              <a:cs typeface="+mn-cs"/>
            </a:rPr>
            <a:t>11</a:t>
          </a:r>
          <a:r>
            <a:rPr lang="ja-JP" altLang="en-US" sz="1100" b="0" i="0">
              <a:solidFill>
                <a:sysClr val="windowText" lastClr="000000"/>
              </a:solidFill>
              <a:effectLst/>
              <a:latin typeface="+mn-ea"/>
              <a:ea typeface="+mn-ea"/>
              <a:cs typeface="+mn-cs"/>
            </a:rPr>
            <a:t>・</a:t>
          </a:r>
          <a:r>
            <a:rPr lang="en-US" altLang="ja-JP" sz="1100" b="0" i="0">
              <a:solidFill>
                <a:sysClr val="windowText" lastClr="000000"/>
              </a:solidFill>
              <a:effectLst/>
              <a:latin typeface="+mn-ea"/>
              <a:ea typeface="+mn-ea"/>
              <a:cs typeface="+mn-cs"/>
            </a:rPr>
            <a:t>12</a:t>
          </a:r>
          <a:r>
            <a:rPr lang="ja-JP" altLang="en-US" sz="1100" b="0" i="0">
              <a:solidFill>
                <a:sysClr val="windowText" lastClr="000000"/>
              </a:solidFill>
              <a:effectLst/>
              <a:latin typeface="+mn-ea"/>
              <a:ea typeface="+mn-ea"/>
              <a:cs typeface="+mn-cs"/>
            </a:rPr>
            <a:t>・</a:t>
          </a:r>
          <a:r>
            <a:rPr lang="en-US" altLang="ja-JP" sz="1100" b="0" i="0">
              <a:solidFill>
                <a:sysClr val="windowText" lastClr="000000"/>
              </a:solidFill>
              <a:effectLst/>
              <a:latin typeface="+mn-ea"/>
              <a:ea typeface="+mn-ea"/>
              <a:cs typeface="+mn-cs"/>
            </a:rPr>
            <a:t>21</a:t>
          </a:r>
          <a:r>
            <a:rPr lang="ja-JP" altLang="en-US" sz="1100" b="0" i="0">
              <a:solidFill>
                <a:sysClr val="windowText" lastClr="000000"/>
              </a:solidFill>
              <a:effectLst/>
              <a:latin typeface="+mn-ea"/>
              <a:ea typeface="+mn-ea"/>
              <a:cs typeface="+mn-cs"/>
            </a:rPr>
            <a:t>・</a:t>
          </a:r>
          <a:r>
            <a:rPr lang="en-US" altLang="ja-JP" sz="1100" b="0" i="0">
              <a:solidFill>
                <a:sysClr val="windowText" lastClr="000000"/>
              </a:solidFill>
              <a:effectLst/>
              <a:latin typeface="+mn-ea"/>
              <a:ea typeface="+mn-ea"/>
              <a:cs typeface="+mn-cs"/>
            </a:rPr>
            <a:t>22</a:t>
          </a:r>
          <a:r>
            <a:rPr lang="ja-JP" altLang="en-US" sz="1100" b="0" i="0">
              <a:solidFill>
                <a:sysClr val="windowText" lastClr="000000"/>
              </a:solidFill>
              <a:effectLst/>
              <a:latin typeface="+mn-ea"/>
              <a:ea typeface="+mn-ea"/>
              <a:cs typeface="+mn-cs"/>
            </a:rPr>
            <a:t>・</a:t>
          </a:r>
          <a:r>
            <a:rPr lang="en-US" altLang="ja-JP" sz="1100" b="0" i="0">
              <a:solidFill>
                <a:sysClr val="windowText" lastClr="000000"/>
              </a:solidFill>
              <a:effectLst/>
              <a:latin typeface="+mn-ea"/>
              <a:ea typeface="+mn-ea"/>
              <a:cs typeface="+mn-cs"/>
            </a:rPr>
            <a:t>31</a:t>
          </a:r>
          <a:r>
            <a:rPr lang="ja-JP" altLang="en-US" sz="1100" b="0" i="0">
              <a:solidFill>
                <a:sysClr val="windowText" lastClr="000000"/>
              </a:solidFill>
              <a:effectLst/>
              <a:latin typeface="+mn-ea"/>
              <a:ea typeface="+mn-ea"/>
              <a:cs typeface="+mn-cs"/>
            </a:rPr>
            <a:t>・</a:t>
          </a:r>
          <a:r>
            <a:rPr lang="en-US" altLang="ja-JP" sz="1100" b="0" i="0">
              <a:solidFill>
                <a:sysClr val="windowText" lastClr="000000"/>
              </a:solidFill>
              <a:effectLst/>
              <a:latin typeface="+mn-ea"/>
              <a:ea typeface="+mn-ea"/>
              <a:cs typeface="+mn-cs"/>
            </a:rPr>
            <a:t>32</a:t>
          </a:r>
          <a:r>
            <a:rPr lang="ja-JP" altLang="en-US" sz="1100" b="0" i="0">
              <a:solidFill>
                <a:sysClr val="windowText" lastClr="000000"/>
              </a:solidFill>
              <a:effectLst/>
              <a:latin typeface="+mn-ea"/>
              <a:ea typeface="+mn-ea"/>
              <a:cs typeface="+mn-cs"/>
            </a:rPr>
            <a:t>（特定受給資格者）、</a:t>
          </a:r>
          <a:r>
            <a:rPr lang="en-US" altLang="ja-JP" sz="1100" b="0" i="0">
              <a:solidFill>
                <a:sysClr val="windowText" lastClr="000000"/>
              </a:solidFill>
              <a:effectLst/>
              <a:latin typeface="+mn-ea"/>
              <a:ea typeface="+mn-ea"/>
              <a:cs typeface="+mn-cs"/>
            </a:rPr>
            <a:t>23</a:t>
          </a:r>
          <a:r>
            <a:rPr lang="ja-JP" altLang="en-US" sz="1100" b="0" i="0">
              <a:solidFill>
                <a:sysClr val="windowText" lastClr="000000"/>
              </a:solidFill>
              <a:effectLst/>
              <a:latin typeface="+mn-ea"/>
              <a:ea typeface="+mn-ea"/>
              <a:cs typeface="+mn-cs"/>
            </a:rPr>
            <a:t>・</a:t>
          </a:r>
          <a:r>
            <a:rPr lang="en-US" altLang="ja-JP" sz="1100" b="0" i="0">
              <a:solidFill>
                <a:sysClr val="windowText" lastClr="000000"/>
              </a:solidFill>
              <a:effectLst/>
              <a:latin typeface="+mn-ea"/>
              <a:ea typeface="+mn-ea"/>
              <a:cs typeface="+mn-cs"/>
            </a:rPr>
            <a:t>33</a:t>
          </a:r>
          <a:r>
            <a:rPr lang="ja-JP" altLang="en-US" sz="1100" b="0" i="0">
              <a:solidFill>
                <a:sysClr val="windowText" lastClr="000000"/>
              </a:solidFill>
              <a:effectLst/>
              <a:latin typeface="+mn-ea"/>
              <a:ea typeface="+mn-ea"/>
              <a:cs typeface="+mn-cs"/>
            </a:rPr>
            <a:t>・</a:t>
          </a:r>
          <a:r>
            <a:rPr lang="en-US" altLang="ja-JP" sz="1100" b="0" i="0">
              <a:solidFill>
                <a:sysClr val="windowText" lastClr="000000"/>
              </a:solidFill>
              <a:effectLst/>
              <a:latin typeface="+mn-ea"/>
              <a:ea typeface="+mn-ea"/>
              <a:cs typeface="+mn-cs"/>
            </a:rPr>
            <a:t>34</a:t>
          </a:r>
          <a:r>
            <a:rPr lang="ja-JP" altLang="en-US" sz="1100" b="0" i="0">
              <a:solidFill>
                <a:sysClr val="windowText" lastClr="000000"/>
              </a:solidFill>
              <a:effectLst/>
              <a:latin typeface="+mn-ea"/>
              <a:ea typeface="+mn-ea"/>
              <a:cs typeface="+mn-cs"/>
            </a:rPr>
            <a:t>（特定理由離職者）である等の条件があります。</a:t>
          </a:r>
          <a:endParaRPr kumimoji="1" lang="ja-JP" altLang="en-US" sz="105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（５）入力内容に不備がある場合は、年間保険料の欄にエラーが表示されます。欄外のエラー内容を確認し、入力を修正してください。</a:t>
          </a:r>
        </a:p>
        <a:p>
          <a:pPr marL="0" marR="0" lvl="0" indent="0" defTabSz="914400" eaLnBrk="1" fontAlgn="auto" latinLnBrk="0" hangingPunct="1">
            <a:lnSpc>
              <a:spcPts val="13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注意事項</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a:t>
          </a:r>
        </a:p>
        <a:p>
          <a:pPr marL="0" marR="0" lvl="0" indent="0" defTabSz="914400" eaLnBrk="1" fontAlgn="auto" latinLnBrk="0" hangingPunct="1">
            <a:lnSpc>
              <a:spcPts val="13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※1</a:t>
          </a:r>
          <a:r>
            <a:rPr kumimoji="1" lang="en-US" altLang="ja-JP" sz="1100" b="0" i="0" baseline="0">
              <a:solidFill>
                <a:sysClr val="windowText" lastClr="000000"/>
              </a:solidFill>
              <a:effectLst/>
              <a:latin typeface="+mn-lt"/>
              <a:ea typeface="+mn-ea"/>
              <a:cs typeface="+mn-cs"/>
            </a:rPr>
            <a:t>   </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上記は試算であり、実際の保険料は異なることがあります。</a:t>
          </a:r>
        </a:p>
        <a:p>
          <a:pPr marL="0" marR="0" lvl="0" indent="0" defTabSz="914400" eaLnBrk="1" fontAlgn="auto" latinLnBrk="0" hangingPunct="1">
            <a:lnSpc>
              <a:spcPts val="13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※2   </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次の計算には対応していません。</a:t>
          </a: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        ・年度途中の加入、脱退または年度途中で</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40</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歳、</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65</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歳、</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75</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歳に到達する加入者がいる場合</a:t>
          </a: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        ・世帯に国民健康保険から後期高齢者医療保険へ移行した人（世帯主を除く）がいる場合</a:t>
          </a: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        ・専従者給与または専従者控除がある場合  </a:t>
          </a: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        ・長期譲渡または短期譲渡にかかる特別控除の適用がある場合</a:t>
          </a: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　    ・産前産後期間の保険料免除が適用されている人がいる場合</a:t>
          </a:r>
        </a:p>
        <a:p>
          <a:pPr marL="0" marR="0" lvl="0" indent="0" defTabSz="914400" eaLnBrk="1" fontAlgn="auto" latinLnBrk="0" hangingPunct="1">
            <a:lnSpc>
              <a:spcPts val="13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※3</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　その他の注意事項については、保険料試算のページを確認してください。（下記ボタンをクリック後、渋谷区公式ウェブサイトに遷移します）</a:t>
          </a:r>
          <a:endParaRPr kumimoji="1" lang="en-US" altLang="ja-JP" sz="1100" baseline="0">
            <a:solidFill>
              <a:sysClr val="windowText" lastClr="000000"/>
            </a:solidFill>
            <a:latin typeface="+mn-ea"/>
            <a:ea typeface="+mn-ea"/>
          </a:endParaRPr>
        </a:p>
      </xdr:txBody>
    </xdr:sp>
    <xdr:clientData/>
  </xdr:twoCellAnchor>
  <xdr:twoCellAnchor>
    <xdr:from>
      <xdr:col>1</xdr:col>
      <xdr:colOff>392673</xdr:colOff>
      <xdr:row>23</xdr:row>
      <xdr:rowOff>169776</xdr:rowOff>
    </xdr:from>
    <xdr:to>
      <xdr:col>3</xdr:col>
      <xdr:colOff>126833</xdr:colOff>
      <xdr:row>25</xdr:row>
      <xdr:rowOff>158995</xdr:rowOff>
    </xdr:to>
    <xdr:sp macro="" textlink="">
      <xdr:nvSpPr>
        <xdr:cNvPr id="6" name="四角形: 角度付き 5">
          <a:hlinkClick xmlns:r="http://schemas.openxmlformats.org/officeDocument/2006/relationships" r:id="rId1"/>
          <a:extLst>
            <a:ext uri="{FF2B5EF4-FFF2-40B4-BE49-F238E27FC236}">
              <a16:creationId xmlns:a16="http://schemas.microsoft.com/office/drawing/2014/main" id="{D8521D21-B768-46F7-81FC-BB2C571F2A62}"/>
            </a:ext>
          </a:extLst>
        </xdr:cNvPr>
        <xdr:cNvSpPr/>
      </xdr:nvSpPr>
      <xdr:spPr>
        <a:xfrm>
          <a:off x="900673" y="7667856"/>
          <a:ext cx="2040480" cy="598819"/>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t>源泉徴収票（給与）</a:t>
          </a:r>
        </a:p>
      </xdr:txBody>
    </xdr:sp>
    <xdr:clientData/>
  </xdr:twoCellAnchor>
  <xdr:twoCellAnchor>
    <xdr:from>
      <xdr:col>3</xdr:col>
      <xdr:colOff>304407</xdr:colOff>
      <xdr:row>23</xdr:row>
      <xdr:rowOff>170972</xdr:rowOff>
    </xdr:from>
    <xdr:to>
      <xdr:col>4</xdr:col>
      <xdr:colOff>1255065</xdr:colOff>
      <xdr:row>25</xdr:row>
      <xdr:rowOff>158995</xdr:rowOff>
    </xdr:to>
    <xdr:sp macro="" textlink="">
      <xdr:nvSpPr>
        <xdr:cNvPr id="7" name="四角形: 角度付き 6">
          <a:hlinkClick xmlns:r="http://schemas.openxmlformats.org/officeDocument/2006/relationships" r:id="rId2"/>
          <a:extLst>
            <a:ext uri="{FF2B5EF4-FFF2-40B4-BE49-F238E27FC236}">
              <a16:creationId xmlns:a16="http://schemas.microsoft.com/office/drawing/2014/main" id="{8B1EBD0C-9A6A-4243-8DF8-B3D7A99CA70C}"/>
            </a:ext>
          </a:extLst>
        </xdr:cNvPr>
        <xdr:cNvSpPr/>
      </xdr:nvSpPr>
      <xdr:spPr>
        <a:xfrm>
          <a:off x="3118727" y="7669052"/>
          <a:ext cx="2220658" cy="597623"/>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t>公的年金等の所得計算方法</a:t>
          </a:r>
          <a:endParaRPr kumimoji="1" lang="en-US" altLang="ja-JP" sz="1100"/>
        </a:p>
      </xdr:txBody>
    </xdr:sp>
    <xdr:clientData/>
  </xdr:twoCellAnchor>
  <xdr:twoCellAnchor>
    <xdr:from>
      <xdr:col>1</xdr:col>
      <xdr:colOff>284860</xdr:colOff>
      <xdr:row>34</xdr:row>
      <xdr:rowOff>164360</xdr:rowOff>
    </xdr:from>
    <xdr:to>
      <xdr:col>3</xdr:col>
      <xdr:colOff>19020</xdr:colOff>
      <xdr:row>36</xdr:row>
      <xdr:rowOff>153580</xdr:rowOff>
    </xdr:to>
    <xdr:sp macro="" textlink="">
      <xdr:nvSpPr>
        <xdr:cNvPr id="2" name="四角形: 角度付き 1">
          <a:hlinkClick xmlns:r="http://schemas.openxmlformats.org/officeDocument/2006/relationships" r:id="rId3"/>
          <a:extLst>
            <a:ext uri="{FF2B5EF4-FFF2-40B4-BE49-F238E27FC236}">
              <a16:creationId xmlns:a16="http://schemas.microsoft.com/office/drawing/2014/main" id="{C6149344-32FD-4555-BFB7-D9DAB3A33DB1}"/>
            </a:ext>
          </a:extLst>
        </xdr:cNvPr>
        <xdr:cNvSpPr/>
      </xdr:nvSpPr>
      <xdr:spPr>
        <a:xfrm>
          <a:off x="795746" y="11187383"/>
          <a:ext cx="2046138" cy="59535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t>保険料試算のページ</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86360</xdr:colOff>
      <xdr:row>0</xdr:row>
      <xdr:rowOff>39370</xdr:rowOff>
    </xdr:from>
    <xdr:to>
      <xdr:col>2</xdr:col>
      <xdr:colOff>272177</xdr:colOff>
      <xdr:row>2</xdr:row>
      <xdr:rowOff>13443</xdr:rowOff>
    </xdr:to>
    <xdr:sp macro="" textlink="">
      <xdr:nvSpPr>
        <xdr:cNvPr id="2" name="四角形: 角度付き 1" descr="試算シートに戻る">
          <a:hlinkClick xmlns:r="http://schemas.openxmlformats.org/officeDocument/2006/relationships" r:id="rId1"/>
          <a:extLst>
            <a:ext uri="{FF2B5EF4-FFF2-40B4-BE49-F238E27FC236}">
              <a16:creationId xmlns:a16="http://schemas.microsoft.com/office/drawing/2014/main" id="{14E131A7-78A4-4907-9A68-897103D376B6}"/>
            </a:ext>
          </a:extLst>
        </xdr:cNvPr>
        <xdr:cNvSpPr/>
      </xdr:nvSpPr>
      <xdr:spPr>
        <a:xfrm>
          <a:off x="86360" y="39370"/>
          <a:ext cx="1557417" cy="431273"/>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試算シートに戻る</a:t>
          </a:r>
        </a:p>
      </xdr:txBody>
    </xdr:sp>
    <xdr:clientData fLocksWithSheet="0"/>
  </xdr:twoCellAnchor>
  <xdr:twoCellAnchor editAs="oneCell">
    <xdr:from>
      <xdr:col>0</xdr:col>
      <xdr:colOff>121920</xdr:colOff>
      <xdr:row>2</xdr:row>
      <xdr:rowOff>99060</xdr:rowOff>
    </xdr:from>
    <xdr:to>
      <xdr:col>9</xdr:col>
      <xdr:colOff>91440</xdr:colOff>
      <xdr:row>18</xdr:row>
      <xdr:rowOff>121920</xdr:rowOff>
    </xdr:to>
    <xdr:pic>
      <xdr:nvPicPr>
        <xdr:cNvPr id="3" name="図 3">
          <a:extLst>
            <a:ext uri="{FF2B5EF4-FFF2-40B4-BE49-F238E27FC236}">
              <a16:creationId xmlns:a16="http://schemas.microsoft.com/office/drawing/2014/main" id="{4F56656E-52E8-4A1C-9BBF-BD35BFB46DC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1920" y="556260"/>
          <a:ext cx="6141720" cy="36804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3</xdr:col>
      <xdr:colOff>635635</xdr:colOff>
      <xdr:row>8</xdr:row>
      <xdr:rowOff>7621</xdr:rowOff>
    </xdr:from>
    <xdr:to>
      <xdr:col>5</xdr:col>
      <xdr:colOff>518039</xdr:colOff>
      <xdr:row>10</xdr:row>
      <xdr:rowOff>141313</xdr:rowOff>
    </xdr:to>
    <xdr:sp macro="" textlink="">
      <xdr:nvSpPr>
        <xdr:cNvPr id="4" name="四角形: 角を丸くする 3">
          <a:extLst>
            <a:ext uri="{FF2B5EF4-FFF2-40B4-BE49-F238E27FC236}">
              <a16:creationId xmlns:a16="http://schemas.microsoft.com/office/drawing/2014/main" id="{C548A133-2707-42C9-ADBA-94CA20A78F62}"/>
            </a:ext>
          </a:extLst>
        </xdr:cNvPr>
        <xdr:cNvSpPr/>
      </xdr:nvSpPr>
      <xdr:spPr>
        <a:xfrm>
          <a:off x="2693035" y="1836421"/>
          <a:ext cx="1254004" cy="590892"/>
        </a:xfrm>
        <a:prstGeom prst="round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650876</xdr:colOff>
      <xdr:row>5</xdr:row>
      <xdr:rowOff>33338</xdr:rowOff>
    </xdr:from>
    <xdr:to>
      <xdr:col>11</xdr:col>
      <xdr:colOff>201326</xdr:colOff>
      <xdr:row>7</xdr:row>
      <xdr:rowOff>140822</xdr:rowOff>
    </xdr:to>
    <xdr:sp macro="" textlink="">
      <xdr:nvSpPr>
        <xdr:cNvPr id="5" name="吹き出し: 線 4">
          <a:extLst>
            <a:ext uri="{FF2B5EF4-FFF2-40B4-BE49-F238E27FC236}">
              <a16:creationId xmlns:a16="http://schemas.microsoft.com/office/drawing/2014/main" id="{D2DADD4E-9369-4F23-9502-A7D921651401}"/>
            </a:ext>
          </a:extLst>
        </xdr:cNvPr>
        <xdr:cNvSpPr/>
      </xdr:nvSpPr>
      <xdr:spPr>
        <a:xfrm>
          <a:off x="4765676" y="1176338"/>
          <a:ext cx="2979450" cy="564684"/>
        </a:xfrm>
        <a:prstGeom prst="borderCallout1">
          <a:avLst/>
        </a:prstGeom>
        <a:solidFill>
          <a:schemeClr val="accent4">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「給与所得控除後の金額」を試算シートの「給与所得」欄に入力します。</a:t>
          </a:r>
        </a:p>
      </xdr:txBody>
    </xdr:sp>
    <xdr:clientData/>
  </xdr:twoCellAnchor>
  <xdr:twoCellAnchor>
    <xdr:from>
      <xdr:col>2</xdr:col>
      <xdr:colOff>64135</xdr:colOff>
      <xdr:row>8</xdr:row>
      <xdr:rowOff>7621</xdr:rowOff>
    </xdr:from>
    <xdr:to>
      <xdr:col>3</xdr:col>
      <xdr:colOff>632339</xdr:colOff>
      <xdr:row>10</xdr:row>
      <xdr:rowOff>141313</xdr:rowOff>
    </xdr:to>
    <xdr:sp macro="" textlink="">
      <xdr:nvSpPr>
        <xdr:cNvPr id="6" name="四角形: 角を丸くする 5">
          <a:extLst>
            <a:ext uri="{FF2B5EF4-FFF2-40B4-BE49-F238E27FC236}">
              <a16:creationId xmlns:a16="http://schemas.microsoft.com/office/drawing/2014/main" id="{35950475-85DB-4796-B001-0017653850E4}"/>
            </a:ext>
          </a:extLst>
        </xdr:cNvPr>
        <xdr:cNvSpPr/>
      </xdr:nvSpPr>
      <xdr:spPr>
        <a:xfrm>
          <a:off x="1435735" y="1836421"/>
          <a:ext cx="1254004" cy="590892"/>
        </a:xfrm>
        <a:prstGeom prst="round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429896</xdr:colOff>
      <xdr:row>12</xdr:row>
      <xdr:rowOff>193358</xdr:rowOff>
    </xdr:from>
    <xdr:to>
      <xdr:col>7</xdr:col>
      <xdr:colOff>666146</xdr:colOff>
      <xdr:row>15</xdr:row>
      <xdr:rowOff>72242</xdr:rowOff>
    </xdr:to>
    <xdr:sp macro="" textlink="">
      <xdr:nvSpPr>
        <xdr:cNvPr id="7" name="吹き出し: 線 6">
          <a:extLst>
            <a:ext uri="{FF2B5EF4-FFF2-40B4-BE49-F238E27FC236}">
              <a16:creationId xmlns:a16="http://schemas.microsoft.com/office/drawing/2014/main" id="{84AE5AA5-045E-4D8C-A0F2-536B26247709}"/>
            </a:ext>
          </a:extLst>
        </xdr:cNvPr>
        <xdr:cNvSpPr/>
      </xdr:nvSpPr>
      <xdr:spPr>
        <a:xfrm>
          <a:off x="2487296" y="2936558"/>
          <a:ext cx="2979450" cy="564684"/>
        </a:xfrm>
        <a:prstGeom prst="borderCallout1">
          <a:avLst>
            <a:gd name="adj1" fmla="val 18750"/>
            <a:gd name="adj2" fmla="val -8333"/>
            <a:gd name="adj3" fmla="val -87215"/>
            <a:gd name="adj4" fmla="val -24011"/>
          </a:avLst>
        </a:prstGeom>
        <a:solidFill>
          <a:schemeClr val="accent4">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「支払金額」を試算シートの「給与収入」欄に入力します。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301626</xdr:colOff>
      <xdr:row>0</xdr:row>
      <xdr:rowOff>77787</xdr:rowOff>
    </xdr:from>
    <xdr:to>
      <xdr:col>4</xdr:col>
      <xdr:colOff>2089630</xdr:colOff>
      <xdr:row>2</xdr:row>
      <xdr:rowOff>20183</xdr:rowOff>
    </xdr:to>
    <xdr:sp macro="" textlink="">
      <xdr:nvSpPr>
        <xdr:cNvPr id="2" name="四角形: 角度付き 1" descr="試算シートに戻る">
          <a:hlinkClick xmlns:r="http://schemas.openxmlformats.org/officeDocument/2006/relationships" r:id="rId1"/>
          <a:extLst>
            <a:ext uri="{FF2B5EF4-FFF2-40B4-BE49-F238E27FC236}">
              <a16:creationId xmlns:a16="http://schemas.microsoft.com/office/drawing/2014/main" id="{1513605B-BA8C-42CE-BD32-85E7312F6293}"/>
            </a:ext>
          </a:extLst>
        </xdr:cNvPr>
        <xdr:cNvSpPr/>
      </xdr:nvSpPr>
      <xdr:spPr>
        <a:xfrm>
          <a:off x="7974966" y="77787"/>
          <a:ext cx="1788004" cy="506276"/>
        </a:xfrm>
        <a:prstGeom prst="bevel">
          <a:avLst/>
        </a:prstGeom>
        <a:solidFill>
          <a:srgbClr val="4472C4"/>
        </a:solidFill>
        <a:ln w="12700" cap="flat" cmpd="sng" algn="ctr">
          <a:solidFill>
            <a:srgbClr val="4472C4">
              <a:shade val="50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試算シートに戻る</a:t>
          </a:r>
          <a:endParaRPr kumimoji="1" lang="en-US" altLang="ja-JP" sz="105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fLocksWithSheet="0"/>
  </xdr:twoCellAnchor>
  <xdr:twoCellAnchor editAs="oneCell">
    <xdr:from>
      <xdr:col>0</xdr:col>
      <xdr:colOff>175260</xdr:colOff>
      <xdr:row>33</xdr:row>
      <xdr:rowOff>121920</xdr:rowOff>
    </xdr:from>
    <xdr:to>
      <xdr:col>3</xdr:col>
      <xdr:colOff>1813560</xdr:colOff>
      <xdr:row>55</xdr:row>
      <xdr:rowOff>22860</xdr:rowOff>
    </xdr:to>
    <xdr:grpSp>
      <xdr:nvGrpSpPr>
        <xdr:cNvPr id="3" name="グループ化 8" descr="公的年金等の源泉徴収票">
          <a:extLst>
            <a:ext uri="{FF2B5EF4-FFF2-40B4-BE49-F238E27FC236}">
              <a16:creationId xmlns:a16="http://schemas.microsoft.com/office/drawing/2014/main" id="{210C6CD1-6F54-4362-81D8-45EDBE6C203F}"/>
            </a:ext>
          </a:extLst>
        </xdr:cNvPr>
        <xdr:cNvGrpSpPr>
          <a:grpSpLocks noChangeAspect="1"/>
        </xdr:cNvGrpSpPr>
      </xdr:nvGrpSpPr>
      <xdr:grpSpPr bwMode="auto">
        <a:xfrm>
          <a:off x="175260" y="11060853"/>
          <a:ext cx="7226300" cy="4930140"/>
          <a:chOff x="328613" y="6246122"/>
          <a:chExt cx="6399266" cy="4511284"/>
        </a:xfrm>
      </xdr:grpSpPr>
      <xdr:pic>
        <xdr:nvPicPr>
          <xdr:cNvPr id="4" name="図 6">
            <a:extLst>
              <a:ext uri="{FF2B5EF4-FFF2-40B4-BE49-F238E27FC236}">
                <a16:creationId xmlns:a16="http://schemas.microsoft.com/office/drawing/2014/main" id="{3D612FEE-5B22-EF5F-63B7-3EB5999956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8613" y="6246122"/>
            <a:ext cx="6399266" cy="45112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四角形: 角を丸くする 7">
            <a:extLst>
              <a:ext uri="{FF2B5EF4-FFF2-40B4-BE49-F238E27FC236}">
                <a16:creationId xmlns:a16="http://schemas.microsoft.com/office/drawing/2014/main" id="{87951D07-DC2C-D5B2-B745-456D39AA4FF2}"/>
              </a:ext>
            </a:extLst>
          </xdr:cNvPr>
          <xdr:cNvSpPr/>
        </xdr:nvSpPr>
        <xdr:spPr>
          <a:xfrm>
            <a:off x="2292945" y="7389631"/>
            <a:ext cx="2254594" cy="96919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2</xdr:col>
      <xdr:colOff>572135</xdr:colOff>
      <xdr:row>6</xdr:row>
      <xdr:rowOff>144039</xdr:rowOff>
    </xdr:from>
    <xdr:to>
      <xdr:col>2</xdr:col>
      <xdr:colOff>1325601</xdr:colOff>
      <xdr:row>7</xdr:row>
      <xdr:rowOff>95062</xdr:rowOff>
    </xdr:to>
    <xdr:sp macro="" textlink="">
      <xdr:nvSpPr>
        <xdr:cNvPr id="6" name="下矢印 10">
          <a:extLst>
            <a:ext uri="{FF2B5EF4-FFF2-40B4-BE49-F238E27FC236}">
              <a16:creationId xmlns:a16="http://schemas.microsoft.com/office/drawing/2014/main" id="{B346086A-91D4-41F8-9849-1DE8BA9CE3A7}"/>
            </a:ext>
          </a:extLst>
        </xdr:cNvPr>
        <xdr:cNvSpPr/>
      </xdr:nvSpPr>
      <xdr:spPr bwMode="auto">
        <a:xfrm>
          <a:off x="4069715" y="1858539"/>
          <a:ext cx="753466" cy="293923"/>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C43"/>
  <sheetViews>
    <sheetView tabSelected="1" zoomScale="116" zoomScaleNormal="70" workbookViewId="0"/>
  </sheetViews>
  <sheetFormatPr defaultColWidth="14.69921875" defaultRowHeight="18"/>
  <cols>
    <col min="1" max="1" width="6.69921875" customWidth="1"/>
    <col min="2" max="2" width="9.09765625" customWidth="1"/>
    <col min="3" max="3" width="21.19921875" customWidth="1"/>
    <col min="4" max="5" width="16.59765625" style="3" customWidth="1"/>
    <col min="6" max="10" width="16.59765625" customWidth="1"/>
    <col min="11" max="13" width="16.59765625" style="2" customWidth="1"/>
    <col min="14" max="14" width="11" style="3" customWidth="1"/>
    <col min="15" max="15" width="11" style="3" hidden="1" customWidth="1"/>
    <col min="16" max="16" width="12" style="3" hidden="1" customWidth="1"/>
    <col min="17" max="17" width="21.19921875" hidden="1" customWidth="1"/>
    <col min="18" max="18" width="18.19921875" hidden="1" customWidth="1"/>
    <col min="19" max="21" width="15.69921875" hidden="1" customWidth="1"/>
    <col min="22" max="22" width="15.59765625" style="5" hidden="1" customWidth="1"/>
    <col min="23" max="23" width="15.59765625" hidden="1" customWidth="1"/>
    <col min="24" max="24" width="13.8984375" hidden="1" customWidth="1"/>
    <col min="25" max="27" width="9" hidden="1" customWidth="1"/>
    <col min="28" max="28" width="14" hidden="1" customWidth="1"/>
    <col min="29" max="29" width="94.796875" hidden="1" customWidth="1"/>
    <col min="30" max="253" width="9" customWidth="1"/>
    <col min="254" max="254" width="6.69921875" customWidth="1"/>
    <col min="255" max="255" width="9.09765625" customWidth="1"/>
    <col min="256" max="256" width="15.69921875" customWidth="1"/>
  </cols>
  <sheetData>
    <row r="1" spans="1:29" ht="34.5" customHeight="1">
      <c r="D1" s="1" t="s">
        <v>123</v>
      </c>
      <c r="E1" s="1"/>
      <c r="Q1" s="4"/>
    </row>
    <row r="2" spans="1:29" ht="66" customHeight="1" thickBot="1">
      <c r="A2" s="6"/>
      <c r="C2" s="7"/>
      <c r="D2" s="10" t="s">
        <v>128</v>
      </c>
      <c r="E2" s="8" t="s">
        <v>0</v>
      </c>
      <c r="F2" s="9" t="s">
        <v>131</v>
      </c>
      <c r="G2" s="10" t="s">
        <v>1</v>
      </c>
      <c r="H2" s="11" t="s">
        <v>132</v>
      </c>
      <c r="I2" s="12" t="s">
        <v>134</v>
      </c>
      <c r="J2" s="13" t="s">
        <v>2</v>
      </c>
      <c r="K2" s="9" t="s">
        <v>3</v>
      </c>
      <c r="L2" s="14" t="s">
        <v>4</v>
      </c>
      <c r="M2" s="3"/>
      <c r="N2" s="3" t="s">
        <v>5</v>
      </c>
      <c r="Q2" s="15" t="s">
        <v>6</v>
      </c>
      <c r="R2" s="16" t="s">
        <v>7</v>
      </c>
      <c r="S2" s="17" t="s">
        <v>8</v>
      </c>
      <c r="T2" s="18" t="s">
        <v>9</v>
      </c>
      <c r="U2" s="19" t="s">
        <v>10</v>
      </c>
      <c r="V2" s="20" t="s">
        <v>11</v>
      </c>
      <c r="W2" s="18" t="s">
        <v>12</v>
      </c>
      <c r="X2" s="21" t="s">
        <v>13</v>
      </c>
      <c r="AA2" s="181" t="s">
        <v>14</v>
      </c>
      <c r="AB2" s="181" t="s">
        <v>15</v>
      </c>
      <c r="AC2" s="181" t="s">
        <v>16</v>
      </c>
    </row>
    <row r="3" spans="1:29" ht="24" customHeight="1" thickTop="1" thickBot="1">
      <c r="A3" s="22" t="s">
        <v>17</v>
      </c>
      <c r="B3" s="151"/>
      <c r="C3" s="152" t="s">
        <v>121</v>
      </c>
      <c r="D3" s="23"/>
      <c r="E3" s="23"/>
      <c r="F3" s="24" t="str">
        <f>IF(E3="","",IF(U3&lt;&gt;TRUE,E3,ROUNDDOWN(E3*$U$18,0)))</f>
        <v/>
      </c>
      <c r="G3" s="23"/>
      <c r="H3" s="25" t="str">
        <f>IF(G3="","",IF(T3&gt;5,IF(G3&gt;$U$26,G3-$U$26,G3-G3),G3))</f>
        <v/>
      </c>
      <c r="I3" s="26"/>
      <c r="J3" s="27" t="str">
        <f>IF(T3&gt;1,SUM(F3,G3,I3),"")</f>
        <v/>
      </c>
      <c r="K3" s="28" t="str">
        <f>IF(T3&gt;1,SUM(F3,H3,I3),"")</f>
        <v/>
      </c>
      <c r="L3" s="155"/>
      <c r="M3" s="3"/>
      <c r="Q3" s="29" t="s">
        <v>20</v>
      </c>
      <c r="R3" s="30" t="s">
        <v>21</v>
      </c>
      <c r="S3" s="31" t="b">
        <f>IF(B3="加入する",TRUE,FALSE)</f>
        <v>0</v>
      </c>
      <c r="T3" s="32">
        <f>IF(C3="",1,VLOOKUP($C3,リスト用!$B$2:$C$8,2,0))</f>
        <v>1</v>
      </c>
      <c r="U3" s="33" t="b">
        <f>IF(L3="会社都合退職",TRUE,FALSE)</f>
        <v>0</v>
      </c>
      <c r="V3" s="34" t="str">
        <f>IF($D3&lt;&gt;"",IF($D3&gt;$U$28,1,0),IF($E3&lt;&gt;"",IF($E3&gt;0,1,0),""))</f>
        <v/>
      </c>
      <c r="W3" s="34" t="str">
        <f>IF($H3&lt;&gt;"",IF($H3&gt;0,1,0),"")</f>
        <v/>
      </c>
      <c r="X3" s="34">
        <f>IF(SUM(V3:W3)&gt;0,1,0)</f>
        <v>0</v>
      </c>
      <c r="AA3" s="148">
        <v>1</v>
      </c>
      <c r="AB3" s="148">
        <f>IF($B$3="",1,0)</f>
        <v>1</v>
      </c>
      <c r="AC3" s="148" t="str">
        <f>"・世帯主の加入の有無が未選択です。" &amp; CHAR(10)</f>
        <v xml:space="preserve">・世帯主の加入の有無が未選択です。
</v>
      </c>
    </row>
    <row r="4" spans="1:29" ht="24" customHeight="1" thickTop="1">
      <c r="A4" s="205" t="s">
        <v>22</v>
      </c>
      <c r="B4" s="35" t="s">
        <v>23</v>
      </c>
      <c r="C4" s="153" t="s">
        <v>121</v>
      </c>
      <c r="D4" s="36"/>
      <c r="E4" s="36"/>
      <c r="F4" s="24" t="str">
        <f>IF(E4="","",IF(U4&lt;&gt;TRUE,E4,ROUNDDOWN(E4*$U$18,0)))</f>
        <v/>
      </c>
      <c r="G4" s="36"/>
      <c r="H4" s="25" t="str">
        <f>IF(G4="","",IF(T4&gt;5,IF(G4&gt;$U$26,G4-$U$26,G4-G4),G4))</f>
        <v/>
      </c>
      <c r="I4" s="37"/>
      <c r="J4" s="27" t="str">
        <f>IF(T4&gt;1,SUM(F4,G4,I4),"")</f>
        <v/>
      </c>
      <c r="K4" s="28" t="str">
        <f>IF(T4&gt;1,SUM(F4,H4,I4),"")</f>
        <v/>
      </c>
      <c r="L4" s="156"/>
      <c r="M4" s="3"/>
      <c r="P4" s="45"/>
      <c r="Q4" s="147" t="s">
        <v>25</v>
      </c>
      <c r="R4" s="38" t="s">
        <v>26</v>
      </c>
      <c r="S4" s="39"/>
      <c r="T4" s="177">
        <f>IF(C4="",1,VLOOKUP($C4,リスト用!$B$2:$C$8,2,0))</f>
        <v>1</v>
      </c>
      <c r="U4" s="178" t="b">
        <f>IF(L4="会社都合退職",TRUE,FALSE)</f>
        <v>0</v>
      </c>
      <c r="V4" s="40" t="str">
        <f>IF($D4&lt;&gt;"",IF($D4&gt;$U$28,1,0),IF($E4&lt;&gt;"",IF($E4&gt;0,1,0),""))</f>
        <v/>
      </c>
      <c r="W4" s="40" t="str">
        <f>IF($H4&lt;&gt;"",IF($H4&gt;0,1,0),"")</f>
        <v/>
      </c>
      <c r="X4" s="41">
        <f>IF(SUM(V4:W4)&gt;0,1,0)</f>
        <v>0</v>
      </c>
      <c r="AA4" s="148">
        <v>2</v>
      </c>
      <c r="AB4" s="148">
        <f>IF(OR($C$3="",$C$3="年齢"),2,0)</f>
        <v>2</v>
      </c>
      <c r="AC4" s="148" t="str">
        <f>"・世帯主の年齢を選択し、所得があれば入力してください。" &amp; CHAR(10)</f>
        <v xml:space="preserve">・世帯主の年齢を選択し、所得があれば入力してください。
</v>
      </c>
    </row>
    <row r="5" spans="1:29" ht="24" customHeight="1">
      <c r="A5" s="206"/>
      <c r="B5" s="22" t="s">
        <v>27</v>
      </c>
      <c r="C5" s="153" t="s">
        <v>121</v>
      </c>
      <c r="D5" s="36"/>
      <c r="E5" s="36"/>
      <c r="F5" s="24" t="str">
        <f>IF(E5="","",IF(U5&lt;&gt;TRUE,E5,ROUNDDOWN(E5*$U$18,0)))</f>
        <v/>
      </c>
      <c r="G5" s="36"/>
      <c r="H5" s="25" t="str">
        <f>IF(G5="","",IF(T5&gt;5,IF(G5&gt;$U$26,G5-$U$26,G5-G5),G5))</f>
        <v/>
      </c>
      <c r="I5" s="37"/>
      <c r="J5" s="27" t="str">
        <f>IF(T5&gt;1,SUM(F5,G5,I5),"")</f>
        <v/>
      </c>
      <c r="K5" s="28" t="str">
        <f>IF(T5&gt;1,SUM(F5,H5,I5),"")</f>
        <v/>
      </c>
      <c r="L5" s="156"/>
      <c r="M5" s="3"/>
      <c r="Q5" s="42" t="s">
        <v>118</v>
      </c>
      <c r="R5" s="38" t="s">
        <v>28</v>
      </c>
      <c r="S5" s="39"/>
      <c r="T5" s="177">
        <f>IF(C5="",1,VLOOKUP($C5,リスト用!$B$2:$C$8,2,0))</f>
        <v>1</v>
      </c>
      <c r="U5" s="178" t="b">
        <f>IF(L5="会社都合退職",TRUE,FALSE)</f>
        <v>0</v>
      </c>
      <c r="V5" s="40" t="str">
        <f>IF($D5&lt;&gt;"",IF($D5&gt;$U$28,1,0),IF($E5&lt;&gt;"",IF($E5&gt;0,1,0),""))</f>
        <v/>
      </c>
      <c r="W5" s="40" t="str">
        <f>IF($H5&lt;&gt;"",IF($H5&gt;0,1,0),"")</f>
        <v/>
      </c>
      <c r="X5" s="41">
        <f>IF(SUM(V5:W5)&gt;0,1,0)</f>
        <v>0</v>
      </c>
      <c r="AA5" s="148">
        <v>3</v>
      </c>
      <c r="AB5" s="148">
        <f>IF(AND(OR(C4="",C4="年齢"),D4&amp;E4&amp;G4&amp;I4&lt;&gt;""),3,0)</f>
        <v>0</v>
      </c>
      <c r="AC5" s="148" t="str">
        <f>"・加入者１の年齢が未選択です。" &amp; CHAR(10)</f>
        <v xml:space="preserve">・加入者１の年齢が未選択です。
</v>
      </c>
    </row>
    <row r="6" spans="1:29" ht="23.25" customHeight="1" thickBot="1">
      <c r="A6" s="207"/>
      <c r="B6" s="22" t="s">
        <v>29</v>
      </c>
      <c r="C6" s="154" t="s">
        <v>121</v>
      </c>
      <c r="D6" s="43"/>
      <c r="E6" s="43"/>
      <c r="F6" s="24" t="str">
        <f>IF(E6="","",IF(U6&lt;&gt;TRUE,E6,ROUNDDOWN(E6*$U$18,0)))</f>
        <v/>
      </c>
      <c r="G6" s="43"/>
      <c r="H6" s="25" t="str">
        <f>IF(G6="","",IF(T6&gt;5,IF(G6&gt;$U$26,G6-$U$26,G6-G6),G6))</f>
        <v/>
      </c>
      <c r="I6" s="44"/>
      <c r="J6" s="27" t="str">
        <f>IF(T6&gt;1,SUM(F6,G6,I6),"")</f>
        <v/>
      </c>
      <c r="K6" s="28" t="str">
        <f>IF(T6&gt;1,SUM(F6,H6,I6),"")</f>
        <v/>
      </c>
      <c r="L6" s="157"/>
      <c r="M6" s="3"/>
      <c r="N6" s="45"/>
      <c r="Q6" s="42" t="s">
        <v>117</v>
      </c>
      <c r="R6" s="47" t="s">
        <v>31</v>
      </c>
      <c r="S6" s="39"/>
      <c r="T6" s="179">
        <f>IF(C6="",1,VLOOKUP($C6,リスト用!$B$2:$C$8,2,0))</f>
        <v>1</v>
      </c>
      <c r="U6" s="180" t="b">
        <f>IF(L6="会社都合退職",TRUE,FALSE)</f>
        <v>0</v>
      </c>
      <c r="V6" s="48" t="str">
        <f>IF($D6&lt;&gt;"",IF($D6&gt;$U$28,1,0),IF($E6&lt;&gt;"",IF($E6&gt;0,1,0),""))</f>
        <v/>
      </c>
      <c r="W6" s="48" t="str">
        <f>IF($H6&lt;&gt;"",IF($H6&gt;0,1,0),"")</f>
        <v/>
      </c>
      <c r="X6" s="41">
        <f>IF(SUM(V6:W6)&gt;0,1,0)</f>
        <v>0</v>
      </c>
      <c r="AA6" s="148">
        <v>4</v>
      </c>
      <c r="AB6" s="148">
        <f>IF(AND(OR(C5="",C5="年齢"),D5&amp;E5&amp;G5&amp;I5&lt;&gt;""),4,0)</f>
        <v>0</v>
      </c>
      <c r="AC6" s="148" t="str">
        <f>"・加入者２の年齢が未選択です。" &amp; CHAR(10)</f>
        <v xml:space="preserve">・加入者２の年齢が未選択です。
</v>
      </c>
    </row>
    <row r="7" spans="1:29" ht="21.75" customHeight="1" thickTop="1">
      <c r="A7" s="49"/>
      <c r="B7" s="49"/>
      <c r="E7" s="45"/>
      <c r="F7" s="45"/>
      <c r="J7" s="50" t="s">
        <v>32</v>
      </c>
      <c r="K7" s="51">
        <f>SUM(K3:K6)</f>
        <v>0</v>
      </c>
      <c r="L7" s="52"/>
      <c r="M7" s="52"/>
      <c r="N7" s="53"/>
      <c r="Q7" s="46" t="s">
        <v>30</v>
      </c>
      <c r="R7" s="159" t="s">
        <v>34</v>
      </c>
      <c r="S7" s="160"/>
      <c r="T7" s="161">
        <f>COUNTIF(T4:T6,"&gt;1")+IF(AND(T3&gt;1,S3=TRUE),1,0)</f>
        <v>0</v>
      </c>
      <c r="U7" s="54"/>
      <c r="V7" s="162" t="s">
        <v>35</v>
      </c>
      <c r="W7" s="163"/>
      <c r="X7" s="161">
        <f>SUM(X3:X6)</f>
        <v>0</v>
      </c>
      <c r="AA7" s="148">
        <v>5</v>
      </c>
      <c r="AB7" s="148">
        <f>IF(AND(OR(C6="",C6="年齢"),D6&amp;E6&amp;G6&amp;I6&lt;&gt;""),5,0)</f>
        <v>0</v>
      </c>
      <c r="AC7" s="148" t="str">
        <f>"・加入者３の年齢が未選択です。" &amp; CHAR(10)</f>
        <v xml:space="preserve">・加入者３の年齢が未選択です。
</v>
      </c>
    </row>
    <row r="8" spans="1:29" ht="22.65" customHeight="1">
      <c r="A8" s="56"/>
      <c r="B8" s="57"/>
      <c r="D8" s="58"/>
      <c r="N8" s="59"/>
      <c r="Q8" s="46" t="s">
        <v>33</v>
      </c>
      <c r="R8" s="164"/>
      <c r="S8" s="165"/>
      <c r="T8" s="165"/>
      <c r="U8" s="165"/>
      <c r="V8" s="166"/>
      <c r="W8" s="165"/>
      <c r="X8" s="165"/>
      <c r="Y8" s="55"/>
      <c r="AA8" s="148">
        <v>6</v>
      </c>
      <c r="AB8" s="148">
        <f>IF(AND($S$3=TRUE,$T$3=7),6,0)</f>
        <v>0</v>
      </c>
      <c r="AC8" s="148" t="str">
        <f>"・75歳以上の人は国保に加入できません。" &amp; CHAR(10)</f>
        <v xml:space="preserve">・75歳以上の人は国保に加入できません。
</v>
      </c>
    </row>
    <row r="9" spans="1:29" ht="24" customHeight="1">
      <c r="B9" s="60" t="s">
        <v>37</v>
      </c>
      <c r="C9" s="61" t="s">
        <v>38</v>
      </c>
      <c r="D9" s="208" t="str">
        <f>"医療分（世帯限度額"&amp;$S$13/10000&amp;"万円）"</f>
        <v>医療分（世帯限度額67万円）</v>
      </c>
      <c r="E9" s="209"/>
      <c r="F9" s="210" t="str">
        <f>"支援分（世帯限度額"&amp;$S$14/10000&amp;"万円）"</f>
        <v>支援分（世帯限度額26万円）</v>
      </c>
      <c r="G9" s="211"/>
      <c r="H9" s="210" t="str">
        <f>"介護分（世帯限度額"&amp;$S$15/10000&amp;"万円）"</f>
        <v>介護分（世帯限度額17万円）</v>
      </c>
      <c r="I9" s="211"/>
      <c r="J9" s="210" t="str">
        <f>"子ども分（世帯限度額"&amp;$S$16/10000&amp;"万円）"</f>
        <v>子ども分（世帯限度額3万円）</v>
      </c>
      <c r="K9" s="211"/>
      <c r="L9" s="201" t="str">
        <f>"年間保険料（円）"&amp;CHAR(10)&amp;"（世帯限度額"&amp;SUM(S13:S16)/10000&amp;"万円）"</f>
        <v>年間保険料（円）
（世帯限度額113万円）</v>
      </c>
      <c r="M9" s="202"/>
      <c r="P9" s="62"/>
      <c r="Q9" s="46" t="s">
        <v>36</v>
      </c>
      <c r="R9" s="167"/>
      <c r="T9" s="168"/>
      <c r="U9" s="49"/>
      <c r="V9" s="49"/>
      <c r="W9" s="49"/>
      <c r="X9" s="49"/>
      <c r="Y9" s="49"/>
      <c r="AA9" s="148">
        <v>7</v>
      </c>
      <c r="AB9" s="148">
        <f>IF(AND($S$3=FALSE,U3=TRUE),7,0)</f>
        <v>0</v>
      </c>
      <c r="AC9" s="148" t="str">
        <f>"・国保加入しない世帯主の場合、会社都合退職は選択できません。" &amp; CHAR(10)</f>
        <v xml:space="preserve">・国保加入しない世帯主の場合、会社都合退職は選択できません。
</v>
      </c>
    </row>
    <row r="10" spans="1:29" ht="33" thickBot="1">
      <c r="B10" s="63" t="str">
        <f>IF(T7&gt;0,IF(X7=0,IF(K7&lt;=U25,S23,IF(K7&lt;=U25+T7*T22,S22,IF(K7&lt;=U25+T7*T21,S21,S24))),IF(K7&lt;=U25+(X7-1)*U27,S23,IF(K7&lt;=U25+T7*T22+(X7-1)*U27,S22,IF(K7&lt;=U25+T7*T21+(X7-1)*U27,S21,S24)))),"")</f>
        <v/>
      </c>
      <c r="C10" s="64" t="str">
        <f>"F (D-"&amp;$U$25/10000&amp;"万円)"</f>
        <v>F (D-43万円)</v>
      </c>
      <c r="D10" s="65" t="str">
        <f>"均等割（円）"&amp;CHAR(10)&amp;"（"&amp;TEXT($U$13,"0,000")&amp;"円 Eを減額）"</f>
        <v>均等割（円）
（47,600円 Eを減額）</v>
      </c>
      <c r="E10" s="66" t="str">
        <f>"所得割（円）"&amp;CHAR(10)&amp;"（F×"&amp;TEXT($T$13,"0.00%")&amp;"）"</f>
        <v>所得割（円）
（F×7.51%）</v>
      </c>
      <c r="F10" s="65" t="str">
        <f>"均等割（円）"&amp;CHAR(10)&amp;"（"&amp;TEXT($U$14,"0,000")&amp;"円 Eを減額）"</f>
        <v>均等割（円）
（17,600円 Eを減額）</v>
      </c>
      <c r="G10" s="66" t="str">
        <f>"所得割（円）"&amp;CHAR(10)&amp;"（F×"&amp;TEXT($T$14,"0.00%")&amp;"）"</f>
        <v>所得割（円）
（F×2.80%）</v>
      </c>
      <c r="H10" s="65" t="str">
        <f>"均等割（円）"&amp;CHAR(10)&amp;"（"&amp;TEXT($U$15,"0,000")&amp;"円 Eを減額）"</f>
        <v>均等割（円）
（17,800円 Eを減額）</v>
      </c>
      <c r="I10" s="66" t="str">
        <f>"所得割（円）"&amp;CHAR(10)&amp;"（F×"&amp;TEXT($T$15,"0.00%")&amp;"）"</f>
        <v>所得割（円）
（F×2.43%）</v>
      </c>
      <c r="J10" s="65" t="str">
        <f>"均等割（円）"&amp;CHAR(10)&amp;"（"&amp;TEXT($U$16,"0,000")&amp;"円 Eを減額）"</f>
        <v>均等割（円）
（1,873円 Eを減額）</v>
      </c>
      <c r="K10" s="66" t="str">
        <f>"所得割（円）"&amp;CHAR(10)&amp;"（F×"&amp;TEXT($T$16,"0.00%")&amp;"）"</f>
        <v>所得割（円）
（F×0.27%）</v>
      </c>
      <c r="L10" s="203"/>
      <c r="M10" s="204"/>
      <c r="P10"/>
      <c r="AA10" s="148">
        <v>8</v>
      </c>
      <c r="AB10" s="148">
        <f>IF(AND(T3&gt;5,U3=TRUE),8,0)</f>
        <v>0</v>
      </c>
      <c r="AC10" s="148" t="str">
        <f>"・65歳以上の人は会社都合退職による軽減は適用されません。（世帯主）" &amp; CHAR(10)</f>
        <v xml:space="preserve">・65歳以上の人は会社都合退職による軽減は適用されません。（世帯主）
</v>
      </c>
    </row>
    <row r="11" spans="1:29" ht="24" customHeight="1">
      <c r="B11" s="22" t="s">
        <v>17</v>
      </c>
      <c r="C11" s="71" t="str">
        <f>IF(T3&gt;1,IF(S3=TRUE,IF(J3-$U$25&gt;0,J3-$U$25,0),0),"")</f>
        <v/>
      </c>
      <c r="D11" s="72" t="str">
        <f>IF(T3&gt;1,IF(S3=TRUE,IF(T3&lt;&gt;2,ROUNDDOWN($U$13-$U$13*$B$10,0),ROUNDDOWN($U$13-$U$13*$B$10,0)/2),0),"")</f>
        <v/>
      </c>
      <c r="E11" s="73" t="str">
        <f>IF(T3&gt;1,IF(S3=TRUE,ROUNDDOWN(C11*T13,0),0),"")</f>
        <v/>
      </c>
      <c r="F11" s="74" t="str">
        <f>IF(T3&gt;1,IF(S3=TRUE,IF(T3&lt;&gt;2,ROUNDDOWN($U$14-$U$14*$B$10,0),ROUNDDOWN($U$14-$U$14*$B$10,0)/2),0),"")</f>
        <v/>
      </c>
      <c r="G11" s="74" t="str">
        <f>IF(T3&gt;1,IF(S3=TRUE,ROUNDDOWN(C11*T14,0),0),"")</f>
        <v/>
      </c>
      <c r="H11" s="74" t="str">
        <f>IF(T3&gt;1,IF(AND(T3=5,S3=TRUE),ROUNDDOWN(U15-U15*B10,0),0),"")</f>
        <v/>
      </c>
      <c r="I11" s="74" t="str">
        <f>IF(T3&gt;1,IF(AND(T3=5,S3=TRUE),ROUNDDOWN(C11*T15,0),),"")</f>
        <v/>
      </c>
      <c r="J11" s="158" t="str">
        <f>IF(T3&gt;1,IF(AND(T3&gt;=4,S3=TRUE),ROUNDDOWN(U16-U16*B10,0),0),"")</f>
        <v/>
      </c>
      <c r="K11" s="158" t="str">
        <f>IF(T3&gt;1,IF(AND(T3&gt;=4,S3=TRUE),ROUNDDOWN(C11*$T$16,0),),"")</f>
        <v/>
      </c>
      <c r="L11" s="186" t="str">
        <f>IF($L$15="エラー","",IF(T3&gt;1,SUM(D11:K11),""))</f>
        <v/>
      </c>
      <c r="M11" s="187"/>
      <c r="P11"/>
      <c r="Q11" s="67" t="s">
        <v>39</v>
      </c>
      <c r="R11" s="68"/>
      <c r="S11" s="68"/>
      <c r="T11" s="68"/>
      <c r="U11" s="68"/>
      <c r="V11" s="69"/>
      <c r="W11" s="68"/>
      <c r="X11" s="68"/>
      <c r="Y11" s="70"/>
      <c r="AA11" s="148">
        <v>9</v>
      </c>
      <c r="AB11" s="148">
        <f>IF(AND(T4&gt;5,U4=TRUE),9,0)</f>
        <v>0</v>
      </c>
      <c r="AC11" s="148" t="str">
        <f>"・65歳以上の人は会社都合退職による軽減は適用されません。（加入者１）" &amp; CHAR(10)</f>
        <v xml:space="preserve">・65歳以上の人は会社都合退職による軽減は適用されません。（加入者１）
</v>
      </c>
    </row>
    <row r="12" spans="1:29" ht="24" customHeight="1">
      <c r="B12" s="80" t="s">
        <v>23</v>
      </c>
      <c r="C12" s="71" t="str">
        <f>IF(T4&gt;1,IF(J4-$U$25&gt;0,J4-$U$25,0),"")</f>
        <v/>
      </c>
      <c r="D12" s="72" t="str">
        <f>IF(T4&gt;1,IF(T4&lt;&gt;2,ROUNDDOWN($U$13-$U$13*$B$10,0),ROUNDDOWN(ROUNDDOWN($U$13-$U$13*$B$10,0)/2,0)),"")</f>
        <v/>
      </c>
      <c r="E12" s="73" t="str">
        <f>IF(T4&gt;1,ROUNDDOWN(C12*T13,0),"")</f>
        <v/>
      </c>
      <c r="F12" s="74" t="str">
        <f>IF(T4&gt;1,IF(T4&lt;&gt;2,ROUNDDOWN($U$14-$U$14*$B$10,0),ROUNDDOWN($U$14-$U$14*$B$10,0)/2),"")</f>
        <v/>
      </c>
      <c r="G12" s="74" t="str">
        <f>IF(T4&gt;1,ROUNDDOWN(C12*T14,0),"")</f>
        <v/>
      </c>
      <c r="H12" s="81" t="str">
        <f>IF(T4&gt;1,IF(T4=5,ROUNDDOWN(U15-U15*B10,0),0),"")</f>
        <v/>
      </c>
      <c r="I12" s="74" t="str">
        <f>IF(T4&gt;1,IF(T4=5,ROUNDDOWN(C12*T15,0),),"")</f>
        <v/>
      </c>
      <c r="J12" s="158" t="str">
        <f>IF(T4&gt;1,IF(T4&gt;=4,ROUNDDOWN($U$16-$U$16*$B$10,0),0),"")</f>
        <v/>
      </c>
      <c r="K12" s="158" t="str">
        <f>IF(T4&gt;1,IF(T4&gt;=4,ROUNDDOWN(C12*$T$16,0),),"")</f>
        <v/>
      </c>
      <c r="L12" s="186" t="str">
        <f>IF($L$15="エラー","",IF(T4&gt;1,SUM(D12:K12),""))</f>
        <v/>
      </c>
      <c r="M12" s="187"/>
      <c r="P12"/>
      <c r="Q12" s="75"/>
      <c r="R12" s="76"/>
      <c r="S12" s="76" t="s">
        <v>40</v>
      </c>
      <c r="T12" s="77" t="s">
        <v>41</v>
      </c>
      <c r="U12" s="78" t="s">
        <v>42</v>
      </c>
      <c r="V12"/>
      <c r="W12" s="5"/>
      <c r="Y12" s="79"/>
      <c r="AA12" s="148">
        <v>10</v>
      </c>
      <c r="AB12" s="148">
        <f>IF(AND(T5&gt;5,U5=TRUE),9,0)</f>
        <v>0</v>
      </c>
      <c r="AC12" s="148" t="str">
        <f>"・65歳以上の人は会社都合退職による軽減は適用されません。（加入者２）" &amp; CHAR(10)</f>
        <v xml:space="preserve">・65歳以上の人は会社都合退職による軽減は適用されません。（加入者２）
</v>
      </c>
    </row>
    <row r="13" spans="1:29" ht="24" customHeight="1">
      <c r="B13" s="80" t="s">
        <v>27</v>
      </c>
      <c r="C13" s="71" t="str">
        <f>IF(T5&gt;1,IF(J5-$U$25&gt;0,J5-$U$25,0),"")</f>
        <v/>
      </c>
      <c r="D13" s="72" t="str">
        <f>IF(T5&gt;1,IF(T5&lt;&gt;2,ROUNDDOWN($U$13-$U$13*$B$10,0),ROUNDDOWN(ROUNDDOWN($U$13-$U$13*$B$10,0)/2,0)),"")</f>
        <v/>
      </c>
      <c r="E13" s="73" t="str">
        <f>IF(T5&gt;1,ROUNDDOWN(C13*T13,0),"")</f>
        <v/>
      </c>
      <c r="F13" s="74" t="str">
        <f>IF(T5&gt;1,IF(T5&lt;&gt;2,ROUNDDOWN($U$14-$U$14*$B$10,0),ROUNDDOWN($U$14-$U$14*$B$10,0)/2),"")</f>
        <v/>
      </c>
      <c r="G13" s="74" t="str">
        <f>IF(T5&gt;1,ROUNDDOWN(C13*T14,0),"")</f>
        <v/>
      </c>
      <c r="H13" s="81" t="str">
        <f>IF(T5&gt;1,IF(T5=5,ROUNDDOWN(U15-U15*B10,0),0),"")</f>
        <v/>
      </c>
      <c r="I13" s="74" t="str">
        <f>IF(T5&gt;1,IF(T5=5,ROUNDDOWN(C13*T15,0),),"")</f>
        <v/>
      </c>
      <c r="J13" s="158" t="str">
        <f>IF(T5&gt;1,IF(T5&gt;=4,ROUNDDOWN($U$16-$U$16*$B$10,0),0),"")</f>
        <v/>
      </c>
      <c r="K13" s="158" t="str">
        <f>IF(T5&gt;1,IF(T5&gt;=4,ROUNDDOWN(C13*$T$16,0),),"")</f>
        <v/>
      </c>
      <c r="L13" s="186" t="str">
        <f>IF($L$15="エラー","",IF(T5&gt;1,SUM(D13:K13),""))</f>
        <v/>
      </c>
      <c r="M13" s="187"/>
      <c r="P13"/>
      <c r="Q13" s="75"/>
      <c r="R13" s="76" t="s">
        <v>43</v>
      </c>
      <c r="S13" s="82">
        <v>670000</v>
      </c>
      <c r="T13" s="169">
        <v>7.51E-2</v>
      </c>
      <c r="U13" s="170">
        <v>47600</v>
      </c>
      <c r="V13" t="s">
        <v>44</v>
      </c>
      <c r="W13" s="5"/>
      <c r="Y13" s="79"/>
      <c r="AA13" s="148">
        <v>11</v>
      </c>
      <c r="AB13" s="148">
        <f>IF(AND(T6&gt;5,U6=TRUE),11,0)</f>
        <v>0</v>
      </c>
      <c r="AC13" s="148" t="str">
        <f>"・65歳以上の人は会社都合退職による軽減は適用されません。（加入者３）"&amp; CHAR(10)</f>
        <v xml:space="preserve">・65歳以上の人は会社都合退職による軽減は適用されません。（加入者３）
</v>
      </c>
    </row>
    <row r="14" spans="1:29" ht="24" customHeight="1">
      <c r="B14" s="84" t="s">
        <v>29</v>
      </c>
      <c r="C14" s="71" t="str">
        <f>IF(T6&gt;1,IF(J6-$U$25&gt;0,J6-$U$25,0),"")</f>
        <v/>
      </c>
      <c r="D14" s="72" t="str">
        <f>IF(T6&gt;1,IF(T6&lt;&gt;2,ROUNDDOWN($U$13-$U$13*$B$10,0),ROUNDDOWN(ROUNDDOWN($U$13-$U$13*$B$10,0)/2,0)),"")</f>
        <v/>
      </c>
      <c r="E14" s="73" t="str">
        <f>IF(T6&gt;1,ROUNDDOWN(C14*T13,0),"")</f>
        <v/>
      </c>
      <c r="F14" s="74" t="str">
        <f>IF(T6&gt;1,IF(T6&lt;&gt;2,ROUNDDOWN($U$14-$U$14*$B$10,0),ROUNDDOWN($U$14-$U$14*$B$10,0)/2),"")</f>
        <v/>
      </c>
      <c r="G14" s="74" t="str">
        <f>IF(T6&gt;1,ROUNDDOWN(C14*T14,0),"")</f>
        <v/>
      </c>
      <c r="H14" s="81" t="str">
        <f>IF(T6&gt;1,IF(T6=5,ROUNDDOWN(U15-U15*B10,0),0),"")</f>
        <v/>
      </c>
      <c r="I14" s="74" t="str">
        <f>IF(T6&gt;1,IF(T6=5,ROUNDDOWN(C14*T15,0),),"")</f>
        <v/>
      </c>
      <c r="J14" s="158" t="str">
        <f>IF(T6&gt;1,IF(T6&gt;=4,ROUNDDOWN($U$16-$U$16*$B$10,0),0),"")</f>
        <v/>
      </c>
      <c r="K14" s="158" t="str">
        <f>IF(T6&gt;1,IF(T6&gt;=4,ROUNDDOWN(C14*$T$16,0),),"")</f>
        <v/>
      </c>
      <c r="L14" s="186" t="str">
        <f>IF($L$15="エラー","",IF(T6&gt;1,SUM(D14:K14),""))</f>
        <v/>
      </c>
      <c r="M14" s="187"/>
      <c r="P14"/>
      <c r="Q14" s="75"/>
      <c r="R14" s="76" t="s">
        <v>45</v>
      </c>
      <c r="S14" s="83">
        <v>260000</v>
      </c>
      <c r="T14" s="171">
        <v>2.8000000000000001E-2</v>
      </c>
      <c r="U14" s="172">
        <v>17600</v>
      </c>
      <c r="V14" t="s">
        <v>46</v>
      </c>
      <c r="W14" s="5"/>
      <c r="Y14" s="79"/>
      <c r="AA14" s="148">
        <v>12</v>
      </c>
      <c r="AB14" s="148">
        <f>IF(AND(T3&lt;&gt;1,COUNTIF(D3,"")+COUNTIF(E3,"")+COUNTIF(G3,"")+COUNTIF(I3,"")&gt;=1),12,0)</f>
        <v>0</v>
      </c>
      <c r="AC14" s="148" t="str">
        <f>"・全ての所得欄を入力してください。対象所得が０円の場合でも０と入力してください。（世帯主）"&amp; CHAR(10)</f>
        <v xml:space="preserve">・全ての所得欄を入力してください。対象所得が０円の場合でも０と入力してください。（世帯主）
</v>
      </c>
    </row>
    <row r="15" spans="1:29" ht="24" customHeight="1">
      <c r="B15" s="197" t="s">
        <v>49</v>
      </c>
      <c r="C15" s="198"/>
      <c r="D15" s="199" t="str">
        <f>IF(T7&gt;0,IF(SUM(D11:E14)&lt;S13,SUM(D11:E14),S13),"")</f>
        <v/>
      </c>
      <c r="E15" s="200"/>
      <c r="F15" s="188" t="str">
        <f>IF(T7&gt;0,IF(SUM(F11:G14)&lt;S14,SUM(F11:G14),S14),"")</f>
        <v/>
      </c>
      <c r="G15" s="189"/>
      <c r="H15" s="190" t="str">
        <f>IF(T7&gt;0,IF(SUM(H11:I14)&lt;S15,SUM(H11:I14),S15),"")</f>
        <v/>
      </c>
      <c r="I15" s="190"/>
      <c r="J15" s="191" t="str">
        <f>IF(T7&gt;0,IF(SUM(J11:K14)&lt;S16,SUM(J11:K14),S16),"")</f>
        <v/>
      </c>
      <c r="K15" s="191"/>
      <c r="L15" s="192" t="str">
        <f>IF(SUM($AB$3:$AB$21)&gt;0,"エラー",IF(T7&gt;0,SUM(D15:K15),""))</f>
        <v>エラー</v>
      </c>
      <c r="M15" s="193"/>
      <c r="P15"/>
      <c r="Q15" s="75"/>
      <c r="R15" s="76" t="s">
        <v>47</v>
      </c>
      <c r="S15" s="83">
        <v>170000</v>
      </c>
      <c r="T15" s="171">
        <v>2.4299999999999999E-2</v>
      </c>
      <c r="U15" s="172">
        <v>17800</v>
      </c>
      <c r="V15" t="s">
        <v>48</v>
      </c>
      <c r="W15" s="5"/>
      <c r="Y15" s="79"/>
      <c r="AA15" s="148">
        <v>13</v>
      </c>
      <c r="AB15" s="148">
        <f>IF(AND(T4&lt;&gt;1,COUNTIF(D4,"")+COUNTIF(E4,"")+COUNTIF(G4,"")+COUNTIF(I4,"")&gt;=1),13,0)</f>
        <v>0</v>
      </c>
      <c r="AC15" s="148" t="str">
        <f>"・全ての所得欄を入力してください。対象所得が０円の場合でも０と入力してください。（加入者１）"&amp; CHAR(10)</f>
        <v xml:space="preserve">・全ての所得欄を入力してください。対象所得が０円の場合でも０と入力してください。（加入者１）
</v>
      </c>
    </row>
    <row r="16" spans="1:29" ht="24" customHeight="1">
      <c r="J16" s="194" t="s">
        <v>50</v>
      </c>
      <c r="K16" s="195"/>
      <c r="L16" s="186" t="str">
        <f>IFERROR(IF(T7&gt;0,L15/12,""),"")</f>
        <v/>
      </c>
      <c r="M16" s="187"/>
      <c r="P16"/>
      <c r="Q16" s="75"/>
      <c r="R16" s="76" t="s">
        <v>119</v>
      </c>
      <c r="S16" s="85">
        <v>30000</v>
      </c>
      <c r="T16" s="86">
        <v>2.7000000000000001E-3</v>
      </c>
      <c r="U16" s="87">
        <v>1873</v>
      </c>
      <c r="V16" t="s">
        <v>120</v>
      </c>
      <c r="W16" s="5"/>
      <c r="Y16" s="79"/>
      <c r="AA16" s="148">
        <v>14</v>
      </c>
      <c r="AB16" s="148">
        <f>IF(AND(T5&lt;&gt;1,COUNTIF(D5,"")+COUNTIF(E5,"")+COUNTIF(G5,"")+COUNTIF(I5,"")&gt;=1),14,0)</f>
        <v>0</v>
      </c>
      <c r="AC16" s="148" t="str">
        <f>"・全ての所得欄を入力してください。対象所得が０円の場合でも０と入力してください。（加入者２）"&amp; CHAR(10)</f>
        <v xml:space="preserve">・全ての所得欄を入力してください。対象所得が０円の場合でも０と入力してください。（加入者２）
</v>
      </c>
    </row>
    <row r="17" spans="10:29" ht="24" customHeight="1">
      <c r="J17" s="149" t="str">
        <f>IF(SUM($AB$3:$AB$13)&gt;0,"エラー内容","")</f>
        <v>エラー内容</v>
      </c>
      <c r="K17" s="149"/>
      <c r="L17" s="149"/>
      <c r="M17" s="3"/>
      <c r="O17"/>
      <c r="P17"/>
      <c r="Q17" s="75"/>
      <c r="V17"/>
      <c r="W17" s="5"/>
      <c r="Y17" s="79"/>
      <c r="AA17" s="148">
        <v>15</v>
      </c>
      <c r="AB17" s="148">
        <f>IF(AND(T6&lt;&gt;1,COUNTIF(D6,"")+COUNTIF(E6,"")+COUNTIF(G6,"")+COUNTIF(I6,"")&gt;=1),15,0)</f>
        <v>0</v>
      </c>
      <c r="AC17" s="148" t="s">
        <v>133</v>
      </c>
    </row>
    <row r="18" spans="10:29" ht="24" customHeight="1">
      <c r="J18" s="196" t="str">
        <f>$AA$24&amp;$AA$25&amp;$AA$26&amp;$AA$27&amp;$AA$28&amp;$AA$29&amp;$AA$30&amp;$AA$31&amp;$AA$32&amp;$AA$33&amp;$AA$34&amp;$AA$35&amp;$AA$36&amp;$AA$37&amp;$AA$38&amp;$AA$39&amp;$AA$40&amp;$AA$41&amp;$AA$42&amp;$AA$43</f>
        <v xml:space="preserve">・世帯主の加入の有無が未選択です。
・世帯主の年齢を選択し、所得があれば入力してください。
・国保に加入する人が0人です。世帯主の加入の有無に誤りがないか確認してください。
</v>
      </c>
      <c r="K18" s="196"/>
      <c r="L18" s="196"/>
      <c r="M18" s="196"/>
      <c r="N18" s="196"/>
      <c r="O18"/>
      <c r="P18"/>
      <c r="Q18" s="75"/>
      <c r="R18" s="88" t="s">
        <v>51</v>
      </c>
      <c r="S18" s="89"/>
      <c r="T18" s="90"/>
      <c r="U18" s="91">
        <v>0.3</v>
      </c>
      <c r="V18"/>
      <c r="W18" s="5"/>
      <c r="Y18" s="79"/>
      <c r="AA18" s="148">
        <v>16</v>
      </c>
      <c r="AB18" s="148">
        <f>IF(AND(T3&lt;&gt;1,D3&lt;&gt;"",E3&lt;&gt;"",D3&lt;E3),16,0)</f>
        <v>0</v>
      </c>
      <c r="AC18" s="148" t="str">
        <f>"・給与収入が給与所得を上回っています。（世帯主）"&amp; CHAR(10)</f>
        <v xml:space="preserve">・給与収入が給与所得を上回っています。（世帯主）
</v>
      </c>
    </row>
    <row r="19" spans="10:29" ht="24" customHeight="1">
      <c r="J19" s="196"/>
      <c r="K19" s="196"/>
      <c r="L19" s="196"/>
      <c r="M19" s="196"/>
      <c r="N19" s="196"/>
      <c r="O19" s="94"/>
      <c r="P19"/>
      <c r="Q19" s="75"/>
      <c r="U19" t="s">
        <v>52</v>
      </c>
      <c r="V19"/>
      <c r="W19" s="5"/>
      <c r="Y19" s="79"/>
      <c r="AA19" s="148">
        <v>17</v>
      </c>
      <c r="AB19" s="148">
        <f>IF(AND(T4&lt;&gt;1,D4&lt;&gt;"",E4&lt;&gt;"",D4&lt;E4),17,0)</f>
        <v>0</v>
      </c>
      <c r="AC19" s="148" t="str">
        <f>"・給与収入が給与所得を上回っています。（加入者１）"&amp; CHAR(10)</f>
        <v xml:space="preserve">・給与収入が給与所得を上回っています。（加入者１）
</v>
      </c>
    </row>
    <row r="20" spans="10:29" ht="24" customHeight="1">
      <c r="J20" s="196"/>
      <c r="K20" s="196"/>
      <c r="L20" s="196"/>
      <c r="M20" s="196"/>
      <c r="N20" s="196"/>
      <c r="O20" s="94"/>
      <c r="P20"/>
      <c r="Q20" s="75"/>
      <c r="R20" s="92"/>
      <c r="S20" s="76" t="s">
        <v>53</v>
      </c>
      <c r="T20" s="76" t="s">
        <v>54</v>
      </c>
      <c r="U20" s="93" t="s">
        <v>55</v>
      </c>
      <c r="V20" s="93" t="s">
        <v>56</v>
      </c>
      <c r="W20" s="93" t="s">
        <v>57</v>
      </c>
      <c r="X20" s="93" t="s">
        <v>58</v>
      </c>
      <c r="Y20" s="79"/>
      <c r="AA20" s="148">
        <v>18</v>
      </c>
      <c r="AB20" s="148">
        <f>IF(AND(T5&lt;&gt;1,D5&lt;&gt;"",E5&lt;&gt;"",D5&lt;E5),18,0)</f>
        <v>0</v>
      </c>
      <c r="AC20" s="148" t="str">
        <f>"・給与収入が給与所得を上回っています。（加入者２）"&amp; CHAR(10)</f>
        <v xml:space="preserve">・給与収入が給与所得を上回っています。（加入者２）
</v>
      </c>
    </row>
    <row r="21" spans="10:29" ht="24" customHeight="1">
      <c r="J21" s="196"/>
      <c r="K21" s="196"/>
      <c r="L21" s="196"/>
      <c r="M21" s="196"/>
      <c r="N21" s="196"/>
      <c r="O21" s="94"/>
      <c r="Q21" s="75"/>
      <c r="R21" s="95"/>
      <c r="S21" s="96">
        <v>0.2</v>
      </c>
      <c r="T21" s="97">
        <v>570000</v>
      </c>
      <c r="U21" s="98">
        <v>0.6</v>
      </c>
      <c r="V21" s="174">
        <f>$U$13*(1-$U21)</f>
        <v>19040</v>
      </c>
      <c r="W21" s="174">
        <f>$U$14*(1-$U21)</f>
        <v>7040</v>
      </c>
      <c r="X21" s="174">
        <f>$U$25+($U$27*IF($X$7=0,0,($X$7-1)))+($T21*$T$7)</f>
        <v>430000</v>
      </c>
      <c r="Y21" s="79" t="b">
        <f>IF($K$7&lt;=$X21,TRUE,FALSE)</f>
        <v>1</v>
      </c>
      <c r="AA21" s="148">
        <v>19</v>
      </c>
      <c r="AB21" s="148">
        <f>IF(AND(T6&lt;&gt;1,D6&lt;&gt;"",E6&lt;&gt;"",D6&lt;E6),19,0)</f>
        <v>0</v>
      </c>
      <c r="AC21" s="148" t="str">
        <f>"・給与収入が給与所得を上回っています。（加入者３）"&amp; CHAR(10)</f>
        <v xml:space="preserve">・給与収入が給与所得を上回っています。（加入者３）
</v>
      </c>
    </row>
    <row r="22" spans="10:29" ht="24" customHeight="1">
      <c r="J22" s="196"/>
      <c r="K22" s="196"/>
      <c r="L22" s="196"/>
      <c r="M22" s="196"/>
      <c r="N22" s="196"/>
      <c r="O22"/>
      <c r="Q22" s="75"/>
      <c r="R22" s="95"/>
      <c r="S22" s="99">
        <v>0.5</v>
      </c>
      <c r="T22" s="100">
        <v>310000</v>
      </c>
      <c r="U22" s="101">
        <v>0.75</v>
      </c>
      <c r="V22" s="175">
        <f>$U$13*(1-$U22)</f>
        <v>11900</v>
      </c>
      <c r="W22" s="175">
        <f>$U$14*(1-$U22)</f>
        <v>4400</v>
      </c>
      <c r="X22" s="175">
        <f>$U$25+($U$27*IF($X$7=0,0,($X$7-1)))+($T22*$T$7)</f>
        <v>430000</v>
      </c>
      <c r="Y22" s="79" t="b">
        <f>IF($K$7&lt;=$X22,TRUE,FALSE)</f>
        <v>1</v>
      </c>
      <c r="AA22" s="148">
        <v>20</v>
      </c>
      <c r="AB22" s="148">
        <f>IF(AND(S3=FALSE,T7=0),20,0)</f>
        <v>20</v>
      </c>
      <c r="AC22" s="148" t="str">
        <f>"・国保に加入する人が0人です。世帯主の加入の有無に誤りがないか確認してください。"&amp; CHAR(10)</f>
        <v xml:space="preserve">・国保に加入する人が0人です。世帯主の加入の有無に誤りがないか確認してください。
</v>
      </c>
    </row>
    <row r="23" spans="10:29" ht="24" customHeight="1">
      <c r="J23" s="196"/>
      <c r="K23" s="196"/>
      <c r="L23" s="196"/>
      <c r="M23" s="196"/>
      <c r="N23" s="196"/>
      <c r="O23"/>
      <c r="Q23" s="75"/>
      <c r="R23" s="95"/>
      <c r="S23" s="99">
        <v>0.7</v>
      </c>
      <c r="T23" s="100">
        <v>0</v>
      </c>
      <c r="U23" s="101">
        <v>0.85</v>
      </c>
      <c r="V23" s="175">
        <f>$U$13*(1-$U23)</f>
        <v>7140.0000000000009</v>
      </c>
      <c r="W23" s="175">
        <f>$U$14*(1-$U23)</f>
        <v>2640.0000000000005</v>
      </c>
      <c r="X23" s="175">
        <f>$U$25+($U$27*IF($X$7=0,0,($X$7-1)))+($T23*$T$7)</f>
        <v>430000</v>
      </c>
      <c r="Y23" s="79" t="b">
        <f>IF($K$7&lt;=$X23,TRUE,FALSE)</f>
        <v>1</v>
      </c>
      <c r="AA23" t="s">
        <v>59</v>
      </c>
    </row>
    <row r="24" spans="10:29" ht="24" customHeight="1">
      <c r="J24" s="196"/>
      <c r="K24" s="196"/>
      <c r="L24" s="196"/>
      <c r="M24" s="196"/>
      <c r="N24" s="196"/>
      <c r="O24"/>
      <c r="Q24" s="75"/>
      <c r="R24" s="102"/>
      <c r="S24" s="103">
        <v>0</v>
      </c>
      <c r="T24" s="104"/>
      <c r="U24" s="105">
        <v>0.5</v>
      </c>
      <c r="V24" s="176">
        <f>$U$13*(1-$U24)</f>
        <v>23800</v>
      </c>
      <c r="W24" s="176">
        <f>$U$14*(1-$U24)</f>
        <v>8800</v>
      </c>
      <c r="X24" s="176"/>
      <c r="Y24" s="79"/>
      <c r="AA24" s="185" t="str" cm="1">
        <f t="array" ref="AA24:AA43">IFERROR(VLOOKUP($AA$3:$AA$22,AB3:AC22,2,0),"")</f>
        <v xml:space="preserve">・世帯主の加入の有無が未選択です。
</v>
      </c>
      <c r="AB24" s="182"/>
      <c r="AC24" s="183"/>
    </row>
    <row r="25" spans="10:29" ht="24" customHeight="1">
      <c r="J25" s="196"/>
      <c r="K25" s="196"/>
      <c r="L25" s="196"/>
      <c r="M25" s="196"/>
      <c r="N25" s="196"/>
      <c r="O25"/>
      <c r="Q25" s="75"/>
      <c r="R25" s="88" t="s">
        <v>60</v>
      </c>
      <c r="S25" s="89"/>
      <c r="T25" s="90"/>
      <c r="U25" s="71">
        <v>430000</v>
      </c>
      <c r="V25"/>
      <c r="W25" s="5"/>
      <c r="Y25" s="79"/>
      <c r="AA25" s="184" t="str">
        <v xml:space="preserve">・世帯主の年齢を選択し、所得があれば入力してください。
</v>
      </c>
      <c r="AB25" s="182"/>
      <c r="AC25" s="183"/>
    </row>
    <row r="26" spans="10:29" ht="24" customHeight="1">
      <c r="J26" s="196"/>
      <c r="K26" s="196"/>
      <c r="L26" s="196"/>
      <c r="M26" s="196"/>
      <c r="N26" s="196"/>
      <c r="O26"/>
      <c r="Q26" s="75"/>
      <c r="R26" s="106" t="s">
        <v>61</v>
      </c>
      <c r="S26" s="90"/>
      <c r="T26" s="90"/>
      <c r="U26" s="74">
        <v>150000</v>
      </c>
      <c r="V26"/>
      <c r="W26" s="5"/>
      <c r="Y26" s="79"/>
      <c r="AA26" s="184" t="str">
        <v/>
      </c>
      <c r="AB26" s="182"/>
      <c r="AC26" s="183"/>
    </row>
    <row r="27" spans="10:29" ht="24" customHeight="1">
      <c r="J27" s="196"/>
      <c r="K27" s="196"/>
      <c r="L27" s="196"/>
      <c r="M27" s="196"/>
      <c r="N27" s="196"/>
      <c r="O27"/>
      <c r="Q27" s="75"/>
      <c r="R27" s="107" t="s">
        <v>62</v>
      </c>
      <c r="S27" s="173"/>
      <c r="T27" s="108"/>
      <c r="U27" s="74">
        <v>100000</v>
      </c>
      <c r="V27"/>
      <c r="W27" s="5"/>
      <c r="Y27" s="79"/>
      <c r="AA27" s="184" t="str">
        <v/>
      </c>
      <c r="AB27" s="182"/>
      <c r="AC27" s="183"/>
    </row>
    <row r="28" spans="10:29" ht="24" customHeight="1">
      <c r="J28" s="196"/>
      <c r="K28" s="196"/>
      <c r="L28" s="196"/>
      <c r="M28" s="196"/>
      <c r="N28" s="196"/>
      <c r="O28"/>
      <c r="Q28" s="75"/>
      <c r="R28" s="107" t="s">
        <v>129</v>
      </c>
      <c r="S28" s="173"/>
      <c r="T28" s="108"/>
      <c r="U28" s="74">
        <v>550000</v>
      </c>
      <c r="Y28" s="79"/>
      <c r="AA28" s="184" t="str">
        <v/>
      </c>
      <c r="AB28" s="182"/>
      <c r="AC28" s="183"/>
    </row>
    <row r="29" spans="10:29" ht="24" customHeight="1" thickBot="1">
      <c r="J29" s="196"/>
      <c r="K29" s="196"/>
      <c r="L29" s="196"/>
      <c r="M29" s="196"/>
      <c r="N29" s="196"/>
      <c r="O29"/>
      <c r="Q29" s="109"/>
      <c r="R29" s="110"/>
      <c r="S29" s="110"/>
      <c r="T29" s="110"/>
      <c r="U29" s="110"/>
      <c r="V29" s="111"/>
      <c r="W29" s="110"/>
      <c r="X29" s="110"/>
      <c r="Y29" s="112"/>
      <c r="AA29" s="184" t="str">
        <v/>
      </c>
      <c r="AB29" s="182"/>
      <c r="AC29" s="183"/>
    </row>
    <row r="30" spans="10:29" ht="24" customHeight="1">
      <c r="J30" s="196"/>
      <c r="K30" s="196"/>
      <c r="L30" s="196"/>
      <c r="M30" s="196"/>
      <c r="N30" s="196"/>
      <c r="O30"/>
      <c r="AA30" s="184" t="str">
        <v/>
      </c>
      <c r="AB30" s="182"/>
      <c r="AC30" s="183"/>
    </row>
    <row r="31" spans="10:29" ht="24" customHeight="1">
      <c r="J31" s="196"/>
      <c r="K31" s="196"/>
      <c r="L31" s="196"/>
      <c r="M31" s="196"/>
      <c r="N31" s="196"/>
      <c r="O31"/>
      <c r="AA31" s="184" t="str">
        <v/>
      </c>
      <c r="AB31" s="182"/>
      <c r="AC31" s="183"/>
    </row>
    <row r="32" spans="10:29" ht="24" customHeight="1">
      <c r="J32" s="196"/>
      <c r="K32" s="196"/>
      <c r="L32" s="196"/>
      <c r="M32" s="196"/>
      <c r="N32" s="196"/>
      <c r="O32"/>
      <c r="AA32" s="184" t="str">
        <v/>
      </c>
      <c r="AB32" s="182"/>
      <c r="AC32" s="183"/>
    </row>
    <row r="33" spans="4:29" ht="24" customHeight="1">
      <c r="J33" s="113" t="s">
        <v>63</v>
      </c>
      <c r="K33" s="113"/>
      <c r="L33" s="113"/>
      <c r="M33" s="3"/>
      <c r="O33"/>
      <c r="AA33" s="184" t="str">
        <v/>
      </c>
      <c r="AB33" s="182"/>
      <c r="AC33" s="183"/>
    </row>
    <row r="34" spans="4:29" ht="24" customHeight="1">
      <c r="J34" s="114">
        <f ca="1">TODAY()</f>
        <v>46108</v>
      </c>
      <c r="K34" s="114"/>
      <c r="L34" s="114"/>
      <c r="M34" s="3"/>
      <c r="O34"/>
      <c r="AA34" s="184" t="str">
        <v/>
      </c>
      <c r="AB34" s="182"/>
      <c r="AC34" s="183"/>
    </row>
    <row r="35" spans="4:29" ht="24" customHeight="1">
      <c r="K35" s="113"/>
      <c r="L35" s="113"/>
      <c r="M35" s="113"/>
      <c r="AA35" s="184" t="str">
        <v/>
      </c>
      <c r="AB35" s="182"/>
      <c r="AC35" s="183"/>
    </row>
    <row r="36" spans="4:29" ht="24" customHeight="1">
      <c r="O36" s="115"/>
      <c r="AA36" s="184" t="str">
        <v/>
      </c>
      <c r="AB36" s="182"/>
      <c r="AC36" s="183"/>
    </row>
    <row r="37" spans="4:29" ht="24" customHeight="1">
      <c r="AA37" s="184" t="str">
        <v/>
      </c>
      <c r="AB37" s="182"/>
      <c r="AC37" s="183"/>
    </row>
    <row r="38" spans="4:29" ht="24" customHeight="1">
      <c r="AA38" s="184" t="str">
        <v/>
      </c>
      <c r="AB38" s="182"/>
      <c r="AC38" s="183"/>
    </row>
    <row r="39" spans="4:29" ht="24" customHeight="1">
      <c r="AA39" s="184" t="str">
        <v/>
      </c>
      <c r="AB39" s="182"/>
      <c r="AC39" s="183"/>
    </row>
    <row r="40" spans="4:29" ht="24" customHeight="1">
      <c r="AA40" s="184" t="str">
        <v/>
      </c>
      <c r="AB40" s="182"/>
      <c r="AC40" s="183"/>
    </row>
    <row r="41" spans="4:29" ht="24" customHeight="1">
      <c r="AA41" s="184" t="str">
        <v/>
      </c>
      <c r="AB41" s="182"/>
      <c r="AC41" s="183"/>
    </row>
    <row r="42" spans="4:29" ht="24" customHeight="1">
      <c r="AA42" s="184" t="str">
        <v/>
      </c>
      <c r="AB42" s="182"/>
      <c r="AC42" s="183"/>
    </row>
    <row r="43" spans="4:29" ht="24" customHeight="1">
      <c r="D43" s="59"/>
      <c r="E43" s="59"/>
      <c r="N43" s="59"/>
      <c r="O43" s="59"/>
      <c r="P43" s="59"/>
      <c r="AA43" s="184" t="str">
        <v xml:space="preserve">・国保に加入する人が0人です。世帯主の加入の有無に誤りがないか確認してください。
</v>
      </c>
      <c r="AB43" s="182"/>
      <c r="AC43" s="183"/>
    </row>
  </sheetData>
  <sheetProtection algorithmName="SHA-512" hashValue="n2AcApO/K0kEtUpnu5ug1Sf9UsYiKQTNlWUTC5C+HX2nwGAAmZKCnFbPYNfla19YLPTJxw/Kr4RnBF7RBR59nQ==" saltValue="sPT5GtNbMPzVh4IPqUHEmA==" spinCount="100000" sheet="1" objects="1" scenarios="1"/>
  <mergeCells count="19">
    <mergeCell ref="L9:M10"/>
    <mergeCell ref="L11:M11"/>
    <mergeCell ref="A4:A6"/>
    <mergeCell ref="D9:E9"/>
    <mergeCell ref="F9:G9"/>
    <mergeCell ref="H9:I9"/>
    <mergeCell ref="J9:K9"/>
    <mergeCell ref="L16:M16"/>
    <mergeCell ref="J16:K16"/>
    <mergeCell ref="J18:N32"/>
    <mergeCell ref="B15:C15"/>
    <mergeCell ref="D15:E15"/>
    <mergeCell ref="L12:M12"/>
    <mergeCell ref="L13:M13"/>
    <mergeCell ref="L14:M14"/>
    <mergeCell ref="F15:G15"/>
    <mergeCell ref="H15:I15"/>
    <mergeCell ref="J15:K15"/>
    <mergeCell ref="L15:M15"/>
  </mergeCells>
  <phoneticPr fontId="2"/>
  <conditionalFormatting sqref="B3">
    <cfRule type="expression" dxfId="3" priority="5">
      <formula>$AB$3&gt;0</formula>
    </cfRule>
    <cfRule type="expression" dxfId="2" priority="6">
      <formula>$AB$8&gt;0</formula>
    </cfRule>
  </conditionalFormatting>
  <conditionalFormatting sqref="L3:L6">
    <cfRule type="expression" dxfId="1" priority="9">
      <formula>OR($AB$9&gt;0,$AB$10&gt;0,$AB$11&gt;0,$AB$12&gt;0,$AB$13&gt;0)=TRUE</formula>
    </cfRule>
  </conditionalFormatting>
  <conditionalFormatting sqref="L15">
    <cfRule type="expression" dxfId="0" priority="1">
      <formula>L15="エラー"</formula>
    </cfRule>
  </conditionalFormatting>
  <pageMargins left="0.7" right="0.7" top="0.75" bottom="0.75" header="0.3" footer="0.3"/>
  <pageSetup paperSize="9" scale="49"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0000000}">
          <x14:formula1>
            <xm:f>リスト用!$G$2:$G$3</xm:f>
          </x14:formula1>
          <xm:sqref>B3</xm:sqref>
        </x14:dataValidation>
        <x14:dataValidation type="list" allowBlank="1" showInputMessage="1" showErrorMessage="1" xr:uid="{00000000-0002-0000-0000-000001000000}">
          <x14:formula1>
            <xm:f>リスト用!$B$2:$B$8</xm:f>
          </x14:formula1>
          <xm:sqref>C3</xm:sqref>
        </x14:dataValidation>
        <x14:dataValidation type="list" allowBlank="1" showInputMessage="1" showErrorMessage="1" xr:uid="{00000000-0002-0000-0000-000002000000}">
          <x14:formula1>
            <xm:f>リスト用!$B$2:$B$7</xm:f>
          </x14:formula1>
          <xm:sqref>C4:C6</xm:sqref>
        </x14:dataValidation>
        <x14:dataValidation type="list" showInputMessage="1" showErrorMessage="1" xr:uid="{00000000-0002-0000-0000-000003000000}">
          <x14:formula1>
            <xm:f>リスト用!$E$1:$E$3</xm:f>
          </x14:formula1>
          <xm:sqref>L3:L6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view="pageBreakPreview" zoomScaleNormal="100" zoomScaleSheetLayoutView="100" workbookViewId="0"/>
  </sheetViews>
  <sheetFormatPr defaultColWidth="9" defaultRowHeight="18"/>
  <cols>
    <col min="1" max="16384" width="9" style="117"/>
  </cols>
  <sheetData/>
  <sheetProtection algorithmName="SHA-512" hashValue="F7kLPRCk6YAh6Hx9DzLtF8i1k01AgiELl7ufwrfP0peeO/DCjE945HaJ0je5OswnqT/xqdaZw+XV64AaJ8dpHw==" saltValue="gJoD035DckKMfzQIMHaVww==" spinCount="100000" sheet="1" selectLockedCells="1"/>
  <phoneticPr fontId="2"/>
  <pageMargins left="0.7" right="0.7" top="0.75" bottom="0.75" header="0.3" footer="0.3"/>
  <pageSetup paperSize="9" scale="74"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S57"/>
  <sheetViews>
    <sheetView view="pageBreakPreview" zoomScale="90" zoomScaleNormal="100" zoomScaleSheetLayoutView="90" workbookViewId="0">
      <selection activeCell="C5" sqref="C5"/>
    </sheetView>
  </sheetViews>
  <sheetFormatPr defaultColWidth="9" defaultRowHeight="18"/>
  <cols>
    <col min="1" max="1" width="9" style="116"/>
    <col min="2" max="2" width="36.8984375" style="116" customWidth="1"/>
    <col min="3" max="5" width="27.3984375" style="116" customWidth="1"/>
    <col min="6" max="9" width="9" style="116"/>
    <col min="10" max="10" width="9" style="117"/>
    <col min="11" max="11" width="9" style="117" hidden="1" customWidth="1"/>
    <col min="12" max="12" width="9" style="116" hidden="1" customWidth="1"/>
    <col min="13" max="14" width="10.59765625" style="116" hidden="1" customWidth="1"/>
    <col min="15" max="15" width="11.19921875" style="116" hidden="1" customWidth="1"/>
    <col min="16" max="16" width="5.3984375" style="116" hidden="1" customWidth="1"/>
    <col min="17" max="17" width="10.09765625" style="116" hidden="1" customWidth="1"/>
    <col min="18" max="18" width="9" style="116" hidden="1" customWidth="1"/>
    <col min="19" max="19" width="9" style="143" hidden="1" customWidth="1"/>
    <col min="20" max="30" width="0" style="116" hidden="1" customWidth="1"/>
    <col min="31" max="16384" width="9" style="116"/>
  </cols>
  <sheetData>
    <row r="1" spans="1:17" ht="26.4">
      <c r="A1" s="118" t="s">
        <v>64</v>
      </c>
      <c r="B1" s="117"/>
      <c r="C1" s="117"/>
      <c r="D1" s="117"/>
      <c r="E1" s="117"/>
      <c r="F1" s="117"/>
      <c r="G1" s="117"/>
      <c r="H1" s="117"/>
      <c r="I1" s="117"/>
      <c r="K1" s="117" t="s">
        <v>130</v>
      </c>
    </row>
    <row r="2" spans="1:17">
      <c r="A2" s="117"/>
      <c r="B2" s="117"/>
      <c r="C2" s="117"/>
      <c r="D2" s="117"/>
      <c r="E2" s="117"/>
      <c r="F2" s="117"/>
      <c r="G2" s="117"/>
      <c r="H2" s="117"/>
      <c r="I2" s="117"/>
    </row>
    <row r="3" spans="1:17">
      <c r="A3" s="117"/>
      <c r="B3" s="117"/>
      <c r="C3" s="117"/>
      <c r="D3" s="117"/>
      <c r="E3" s="117"/>
      <c r="F3" s="117"/>
      <c r="G3" s="117"/>
      <c r="H3" s="117"/>
      <c r="I3" s="117"/>
    </row>
    <row r="4" spans="1:17" ht="18.600000000000001" thickBot="1">
      <c r="A4" s="117"/>
      <c r="B4" s="117"/>
      <c r="C4" s="117"/>
      <c r="D4" s="117"/>
      <c r="E4" s="117"/>
      <c r="F4" s="117"/>
      <c r="G4" s="117"/>
      <c r="H4" s="117"/>
      <c r="I4" s="117"/>
      <c r="O4" s="119" t="s">
        <v>9</v>
      </c>
      <c r="P4" s="119" t="s">
        <v>65</v>
      </c>
    </row>
    <row r="5" spans="1:17" ht="27.45" customHeight="1" thickBot="1">
      <c r="A5" s="117"/>
      <c r="B5" s="120" t="s">
        <v>124</v>
      </c>
      <c r="C5" s="150" t="s">
        <v>66</v>
      </c>
      <c r="D5" s="121"/>
      <c r="E5" s="117"/>
      <c r="F5" s="117"/>
      <c r="G5" s="117"/>
      <c r="H5" s="117"/>
      <c r="I5" s="117"/>
      <c r="N5" s="116">
        <v>1</v>
      </c>
      <c r="O5" s="122" t="s">
        <v>67</v>
      </c>
      <c r="P5" s="123">
        <f>IF(C5="","",INDEX($N$5:$O$7,MATCH($C$5,$O$5:$O$7,0),1))</f>
        <v>2</v>
      </c>
    </row>
    <row r="6" spans="1:17" ht="27.45" customHeight="1" thickBot="1">
      <c r="A6" s="117"/>
      <c r="B6" s="120" t="s">
        <v>68</v>
      </c>
      <c r="C6" s="124"/>
      <c r="D6" s="125" t="s">
        <v>125</v>
      </c>
      <c r="E6" s="117"/>
      <c r="F6" s="117"/>
      <c r="G6" s="117"/>
      <c r="H6" s="117"/>
      <c r="I6" s="117"/>
      <c r="N6" s="116">
        <v>2</v>
      </c>
      <c r="O6" s="122" t="s">
        <v>66</v>
      </c>
    </row>
    <row r="7" spans="1:17" ht="27.45" customHeight="1">
      <c r="A7" s="117"/>
      <c r="B7" s="121"/>
      <c r="C7" s="121"/>
      <c r="D7" s="125"/>
      <c r="E7" s="117"/>
      <c r="F7" s="117"/>
      <c r="G7" s="117"/>
      <c r="H7" s="117"/>
      <c r="I7" s="117"/>
      <c r="N7" s="116">
        <v>3</v>
      </c>
      <c r="O7" s="122" t="s">
        <v>69</v>
      </c>
    </row>
    <row r="8" spans="1:17" ht="27.45" customHeight="1" thickBot="1">
      <c r="A8" s="117"/>
      <c r="B8" s="121"/>
      <c r="C8" s="121"/>
      <c r="D8" s="125"/>
      <c r="E8" s="117"/>
      <c r="F8" s="117"/>
      <c r="G8" s="117"/>
      <c r="H8" s="117"/>
      <c r="I8" s="117"/>
    </row>
    <row r="9" spans="1:17" ht="27.45" customHeight="1" thickBot="1">
      <c r="A9" s="117"/>
      <c r="B9" s="120" t="s">
        <v>70</v>
      </c>
      <c r="C9" s="126">
        <f>IF(P5&lt;&gt;1,IF(P5=3,ROUNDDOWN($C$6*VLOOKUP($C$6,$O$11:$Q$16,2,1)-VLOOKUP($C$6,$O$11:$Q$16,3,1),0),ROUNDDOWN($C$6*VLOOKUP($C$6,$O$19:$Q$24,2,1)-VLOOKUP($C$6,$O$19:$Q$24,3,1),0)),"")</f>
        <v>0</v>
      </c>
      <c r="D9" s="125" t="s">
        <v>71</v>
      </c>
      <c r="E9" s="117"/>
      <c r="F9" s="117"/>
      <c r="G9" s="117"/>
      <c r="H9" s="117"/>
      <c r="I9" s="117"/>
      <c r="O9" s="127" t="s">
        <v>72</v>
      </c>
      <c r="P9" s="128"/>
      <c r="Q9" s="129"/>
    </row>
    <row r="10" spans="1:17">
      <c r="A10" s="117"/>
      <c r="B10" s="117"/>
      <c r="C10" s="117"/>
      <c r="D10" s="117"/>
      <c r="E10" s="117"/>
      <c r="F10" s="117"/>
      <c r="G10" s="117"/>
      <c r="H10" s="117"/>
      <c r="I10" s="117"/>
      <c r="O10" s="130" t="s">
        <v>73</v>
      </c>
      <c r="P10" s="130" t="s">
        <v>74</v>
      </c>
      <c r="Q10" s="130" t="s">
        <v>75</v>
      </c>
    </row>
    <row r="11" spans="1:17" ht="27" customHeight="1">
      <c r="A11" s="117"/>
      <c r="B11" s="117"/>
      <c r="C11" s="117"/>
      <c r="D11" s="117"/>
      <c r="E11" s="117"/>
      <c r="F11" s="117"/>
      <c r="G11" s="117"/>
      <c r="H11" s="117"/>
      <c r="I11" s="117"/>
      <c r="O11" s="131">
        <v>0</v>
      </c>
      <c r="P11" s="132">
        <v>0</v>
      </c>
      <c r="Q11" s="131">
        <v>0</v>
      </c>
    </row>
    <row r="12" spans="1:17">
      <c r="A12" s="117"/>
      <c r="B12" s="117"/>
      <c r="C12" s="117"/>
      <c r="D12" s="117"/>
      <c r="E12" s="117"/>
      <c r="F12" s="117"/>
      <c r="G12" s="117"/>
      <c r="H12" s="117"/>
      <c r="I12" s="117"/>
      <c r="O12" s="131">
        <v>1100001</v>
      </c>
      <c r="P12" s="132">
        <v>1</v>
      </c>
      <c r="Q12" s="131">
        <v>1100000</v>
      </c>
    </row>
    <row r="13" spans="1:17">
      <c r="A13" s="117"/>
      <c r="B13" s="117"/>
      <c r="C13" s="117"/>
      <c r="D13" s="117"/>
      <c r="E13" s="117"/>
      <c r="F13" s="117"/>
      <c r="G13" s="117"/>
      <c r="H13" s="117"/>
      <c r="I13" s="117"/>
      <c r="O13" s="131">
        <v>3300000</v>
      </c>
      <c r="P13" s="132">
        <v>0.75</v>
      </c>
      <c r="Q13" s="131">
        <v>275000</v>
      </c>
    </row>
    <row r="14" spans="1:17" ht="19.8">
      <c r="A14" s="117"/>
      <c r="B14" s="125" t="s">
        <v>76</v>
      </c>
      <c r="C14" s="117"/>
      <c r="D14" s="117"/>
      <c r="E14" s="117"/>
      <c r="F14" s="117"/>
      <c r="G14" s="117"/>
      <c r="H14" s="117"/>
      <c r="I14" s="117"/>
      <c r="O14" s="131">
        <v>4100000</v>
      </c>
      <c r="P14" s="132">
        <v>0.85</v>
      </c>
      <c r="Q14" s="131">
        <v>685000</v>
      </c>
    </row>
    <row r="15" spans="1:17" ht="19.8">
      <c r="A15" s="117"/>
      <c r="B15" s="125" t="s">
        <v>77</v>
      </c>
      <c r="C15" s="117"/>
      <c r="D15" s="117"/>
      <c r="E15" s="117"/>
      <c r="F15" s="117"/>
      <c r="G15" s="117"/>
      <c r="H15" s="117"/>
      <c r="I15" s="117"/>
      <c r="O15" s="133">
        <v>7700000</v>
      </c>
      <c r="P15" s="132">
        <v>0.95</v>
      </c>
      <c r="Q15" s="131">
        <v>1455000</v>
      </c>
    </row>
    <row r="16" spans="1:17">
      <c r="A16" s="117"/>
      <c r="B16" s="117"/>
      <c r="C16" s="117"/>
      <c r="D16" s="117"/>
      <c r="E16" s="117"/>
      <c r="F16" s="117"/>
      <c r="G16" s="117"/>
      <c r="H16" s="117"/>
      <c r="I16" s="117"/>
      <c r="O16" s="134">
        <v>10000000</v>
      </c>
      <c r="P16" s="132">
        <v>1</v>
      </c>
      <c r="Q16" s="135">
        <v>1955000</v>
      </c>
    </row>
    <row r="17" spans="1:17">
      <c r="A17" s="213" t="s">
        <v>126</v>
      </c>
      <c r="B17" s="214"/>
      <c r="C17" s="217" t="s">
        <v>78</v>
      </c>
      <c r="D17" s="218"/>
      <c r="E17" s="219"/>
      <c r="F17" s="117"/>
      <c r="G17" s="117"/>
      <c r="H17" s="117"/>
      <c r="I17" s="117"/>
      <c r="O17" s="134"/>
      <c r="P17" s="132"/>
      <c r="Q17" s="131"/>
    </row>
    <row r="18" spans="1:17">
      <c r="A18" s="215"/>
      <c r="B18" s="216"/>
      <c r="C18" s="136" t="s">
        <v>79</v>
      </c>
      <c r="D18" s="136" t="s">
        <v>80</v>
      </c>
      <c r="E18" s="136" t="s">
        <v>81</v>
      </c>
      <c r="F18" s="117"/>
      <c r="G18" s="117"/>
      <c r="H18" s="117"/>
      <c r="I18" s="117"/>
    </row>
    <row r="19" spans="1:17" ht="30.9" customHeight="1">
      <c r="A19" s="212" t="s">
        <v>82</v>
      </c>
      <c r="B19" s="137" t="s">
        <v>83</v>
      </c>
      <c r="C19" s="138">
        <v>0</v>
      </c>
      <c r="D19" s="138">
        <v>0</v>
      </c>
      <c r="E19" s="138">
        <v>0</v>
      </c>
      <c r="F19" s="117"/>
      <c r="G19" s="117"/>
      <c r="H19" s="117"/>
      <c r="I19" s="117"/>
      <c r="O19" s="139">
        <v>0</v>
      </c>
      <c r="P19" s="132">
        <v>0</v>
      </c>
      <c r="Q19" s="135">
        <v>0</v>
      </c>
    </row>
    <row r="20" spans="1:17" ht="30.9" customHeight="1">
      <c r="A20" s="212"/>
      <c r="B20" s="137" t="s">
        <v>84</v>
      </c>
      <c r="C20" s="138" t="s">
        <v>85</v>
      </c>
      <c r="D20" s="138" t="s">
        <v>86</v>
      </c>
      <c r="E20" s="138" t="s">
        <v>87</v>
      </c>
      <c r="F20" s="117"/>
      <c r="G20" s="117"/>
      <c r="H20" s="117"/>
      <c r="I20" s="117"/>
      <c r="O20" s="140">
        <v>600001</v>
      </c>
      <c r="P20" s="132">
        <v>1</v>
      </c>
      <c r="Q20" s="135">
        <v>600000</v>
      </c>
    </row>
    <row r="21" spans="1:17" ht="30.9" customHeight="1">
      <c r="A21" s="212"/>
      <c r="B21" s="137" t="s">
        <v>88</v>
      </c>
      <c r="C21" s="138" t="s">
        <v>89</v>
      </c>
      <c r="D21" s="138" t="s">
        <v>90</v>
      </c>
      <c r="E21" s="138" t="s">
        <v>91</v>
      </c>
      <c r="F21" s="117"/>
      <c r="G21" s="117"/>
      <c r="H21" s="117"/>
      <c r="I21" s="117"/>
      <c r="O21" s="139">
        <v>1300000</v>
      </c>
      <c r="P21" s="132">
        <v>0.75</v>
      </c>
      <c r="Q21" s="135">
        <v>275000</v>
      </c>
    </row>
    <row r="22" spans="1:17" ht="30.9" customHeight="1">
      <c r="A22" s="212"/>
      <c r="B22" s="137" t="s">
        <v>92</v>
      </c>
      <c r="C22" s="138" t="s">
        <v>93</v>
      </c>
      <c r="D22" s="138" t="s">
        <v>94</v>
      </c>
      <c r="E22" s="138" t="s">
        <v>95</v>
      </c>
      <c r="F22" s="117"/>
      <c r="G22" s="117"/>
      <c r="H22" s="117"/>
      <c r="I22" s="117"/>
      <c r="O22" s="139">
        <v>4100000</v>
      </c>
      <c r="P22" s="132">
        <v>0.85</v>
      </c>
      <c r="Q22" s="135">
        <v>685000</v>
      </c>
    </row>
    <row r="23" spans="1:17" ht="30.9" customHeight="1">
      <c r="A23" s="212"/>
      <c r="B23" s="137" t="s">
        <v>96</v>
      </c>
      <c r="C23" s="138" t="s">
        <v>97</v>
      </c>
      <c r="D23" s="138" t="s">
        <v>98</v>
      </c>
      <c r="E23" s="138" t="s">
        <v>99</v>
      </c>
      <c r="F23" s="117"/>
      <c r="G23" s="117"/>
      <c r="H23" s="117"/>
      <c r="I23" s="117"/>
      <c r="O23" s="139">
        <v>7700000</v>
      </c>
      <c r="P23" s="132">
        <v>0.95</v>
      </c>
      <c r="Q23" s="135">
        <v>1455000</v>
      </c>
    </row>
    <row r="24" spans="1:17" ht="47.7" customHeight="1">
      <c r="A24" s="212"/>
      <c r="B24" s="137" t="s">
        <v>100</v>
      </c>
      <c r="C24" s="138" t="s">
        <v>101</v>
      </c>
      <c r="D24" s="138" t="s">
        <v>102</v>
      </c>
      <c r="E24" s="138" t="s">
        <v>103</v>
      </c>
      <c r="F24" s="117"/>
      <c r="G24" s="117"/>
      <c r="H24" s="117"/>
      <c r="I24" s="117"/>
      <c r="O24" s="135">
        <v>10000000</v>
      </c>
      <c r="P24" s="132">
        <v>1</v>
      </c>
      <c r="Q24" s="135">
        <v>1955000</v>
      </c>
    </row>
    <row r="25" spans="1:17" ht="30.9" customHeight="1">
      <c r="A25" s="141"/>
      <c r="B25" s="117"/>
      <c r="C25" s="117"/>
      <c r="D25" s="117"/>
      <c r="E25" s="117"/>
      <c r="F25" s="117"/>
      <c r="G25" s="117"/>
      <c r="H25" s="117"/>
      <c r="I25" s="117"/>
    </row>
    <row r="26" spans="1:17">
      <c r="A26" s="220" t="s">
        <v>127</v>
      </c>
      <c r="B26" s="221"/>
      <c r="C26" s="224" t="s">
        <v>78</v>
      </c>
      <c r="D26" s="225"/>
      <c r="E26" s="226"/>
      <c r="F26" s="117"/>
      <c r="G26" s="117"/>
      <c r="H26" s="117"/>
      <c r="I26" s="117"/>
    </row>
    <row r="27" spans="1:17">
      <c r="A27" s="222"/>
      <c r="B27" s="223"/>
      <c r="C27" s="142" t="s">
        <v>79</v>
      </c>
      <c r="D27" s="142" t="s">
        <v>80</v>
      </c>
      <c r="E27" s="142" t="s">
        <v>81</v>
      </c>
      <c r="F27" s="117"/>
      <c r="G27" s="117"/>
      <c r="H27" s="117"/>
      <c r="I27" s="117"/>
    </row>
    <row r="28" spans="1:17" ht="30.9" customHeight="1">
      <c r="A28" s="212" t="s">
        <v>82</v>
      </c>
      <c r="B28" s="137" t="s">
        <v>104</v>
      </c>
      <c r="C28" s="138">
        <v>0</v>
      </c>
      <c r="D28" s="138">
        <v>0</v>
      </c>
      <c r="E28" s="138">
        <v>0</v>
      </c>
      <c r="F28" s="117"/>
      <c r="G28" s="117"/>
      <c r="H28" s="117"/>
      <c r="I28" s="117"/>
    </row>
    <row r="29" spans="1:17" ht="30.9" customHeight="1">
      <c r="A29" s="212"/>
      <c r="B29" s="137" t="s">
        <v>105</v>
      </c>
      <c r="C29" s="138" t="s">
        <v>106</v>
      </c>
      <c r="D29" s="138" t="s">
        <v>107</v>
      </c>
      <c r="E29" s="138" t="s">
        <v>108</v>
      </c>
      <c r="F29" s="117"/>
      <c r="G29" s="117"/>
      <c r="H29" s="117"/>
      <c r="I29" s="117"/>
    </row>
    <row r="30" spans="1:17" ht="30.9" customHeight="1">
      <c r="A30" s="212"/>
      <c r="B30" s="137" t="s">
        <v>109</v>
      </c>
      <c r="C30" s="138" t="s">
        <v>89</v>
      </c>
      <c r="D30" s="138" t="s">
        <v>90</v>
      </c>
      <c r="E30" s="138" t="s">
        <v>91</v>
      </c>
      <c r="F30" s="117"/>
      <c r="G30" s="117"/>
      <c r="H30" s="117"/>
      <c r="I30" s="117"/>
    </row>
    <row r="31" spans="1:17" ht="30.9" customHeight="1">
      <c r="A31" s="212"/>
      <c r="B31" s="137" t="s">
        <v>92</v>
      </c>
      <c r="C31" s="138" t="s">
        <v>93</v>
      </c>
      <c r="D31" s="138" t="s">
        <v>94</v>
      </c>
      <c r="E31" s="138" t="s">
        <v>95</v>
      </c>
      <c r="F31" s="117"/>
      <c r="G31" s="117"/>
      <c r="H31" s="117"/>
      <c r="I31" s="117"/>
    </row>
    <row r="32" spans="1:17" ht="30.9" customHeight="1">
      <c r="A32" s="212"/>
      <c r="B32" s="137" t="s">
        <v>96</v>
      </c>
      <c r="C32" s="138" t="s">
        <v>97</v>
      </c>
      <c r="D32" s="138" t="s">
        <v>98</v>
      </c>
      <c r="E32" s="138" t="s">
        <v>99</v>
      </c>
      <c r="F32" s="117"/>
      <c r="G32" s="117"/>
      <c r="H32" s="117"/>
      <c r="I32" s="117"/>
    </row>
    <row r="33" spans="1:9" ht="47.7" customHeight="1">
      <c r="A33" s="212"/>
      <c r="B33" s="137" t="s">
        <v>100</v>
      </c>
      <c r="C33" s="138" t="s">
        <v>101</v>
      </c>
      <c r="D33" s="138" t="s">
        <v>102</v>
      </c>
      <c r="E33" s="138" t="s">
        <v>103</v>
      </c>
      <c r="F33" s="117"/>
      <c r="G33" s="117"/>
      <c r="H33" s="117"/>
      <c r="I33" s="117"/>
    </row>
    <row r="34" spans="1:9">
      <c r="A34" s="117"/>
      <c r="B34" s="117"/>
      <c r="C34" s="117"/>
      <c r="D34" s="117"/>
      <c r="E34" s="117"/>
      <c r="F34" s="117"/>
      <c r="G34" s="117"/>
      <c r="H34" s="117"/>
      <c r="I34" s="117"/>
    </row>
    <row r="35" spans="1:9">
      <c r="A35" s="117"/>
      <c r="B35" s="117"/>
      <c r="C35" s="117"/>
      <c r="D35" s="117"/>
      <c r="E35" s="117"/>
      <c r="F35" s="117"/>
      <c r="G35" s="117"/>
      <c r="H35" s="117"/>
      <c r="I35" s="117"/>
    </row>
    <row r="36" spans="1:9">
      <c r="A36" s="117"/>
      <c r="B36" s="117"/>
      <c r="C36" s="117"/>
      <c r="D36" s="117"/>
      <c r="E36" s="117"/>
      <c r="F36" s="117"/>
      <c r="G36" s="117"/>
      <c r="H36" s="117"/>
      <c r="I36" s="117"/>
    </row>
    <row r="37" spans="1:9">
      <c r="A37" s="117"/>
      <c r="B37" s="117"/>
      <c r="C37" s="117"/>
      <c r="D37" s="117"/>
      <c r="E37" s="117"/>
      <c r="F37" s="117"/>
      <c r="G37" s="117"/>
      <c r="H37" s="117"/>
      <c r="I37" s="117"/>
    </row>
    <row r="38" spans="1:9">
      <c r="A38" s="117"/>
      <c r="B38" s="117"/>
      <c r="C38" s="117"/>
      <c r="D38" s="117"/>
      <c r="E38" s="117"/>
      <c r="F38" s="117"/>
      <c r="G38" s="117"/>
      <c r="H38" s="117"/>
      <c r="I38" s="117"/>
    </row>
    <row r="39" spans="1:9">
      <c r="A39" s="117"/>
      <c r="B39" s="117"/>
      <c r="C39" s="117"/>
      <c r="D39" s="117"/>
      <c r="E39" s="117"/>
      <c r="F39" s="117"/>
      <c r="G39" s="117"/>
      <c r="H39" s="117"/>
      <c r="I39" s="117"/>
    </row>
    <row r="40" spans="1:9">
      <c r="A40" s="117"/>
      <c r="B40" s="117"/>
      <c r="C40" s="117"/>
      <c r="D40" s="117"/>
      <c r="E40" s="117"/>
      <c r="F40" s="117"/>
      <c r="G40" s="117"/>
      <c r="H40" s="117"/>
      <c r="I40" s="117"/>
    </row>
    <row r="41" spans="1:9">
      <c r="A41" s="117"/>
      <c r="B41" s="117"/>
      <c r="C41" s="117"/>
      <c r="D41" s="117"/>
      <c r="E41" s="117"/>
      <c r="F41" s="117"/>
      <c r="G41" s="117"/>
      <c r="H41" s="117"/>
      <c r="I41" s="117"/>
    </row>
    <row r="42" spans="1:9">
      <c r="A42" s="117"/>
      <c r="B42" s="117"/>
      <c r="C42" s="117"/>
      <c r="D42" s="117"/>
      <c r="E42" s="117"/>
      <c r="F42" s="117"/>
      <c r="G42" s="117"/>
      <c r="H42" s="117"/>
      <c r="I42" s="117"/>
    </row>
    <row r="43" spans="1:9">
      <c r="A43" s="117"/>
      <c r="B43" s="117"/>
      <c r="C43" s="117"/>
      <c r="D43" s="117"/>
      <c r="E43" s="117"/>
      <c r="F43" s="117"/>
      <c r="G43" s="117"/>
      <c r="H43" s="117"/>
      <c r="I43" s="117"/>
    </row>
    <row r="44" spans="1:9">
      <c r="A44" s="117"/>
      <c r="B44" s="117"/>
      <c r="C44" s="117"/>
      <c r="D44" s="117"/>
      <c r="E44" s="117"/>
      <c r="F44" s="117"/>
      <c r="G44" s="117"/>
      <c r="H44" s="117"/>
      <c r="I44" s="117"/>
    </row>
    <row r="45" spans="1:9">
      <c r="A45" s="117"/>
      <c r="B45" s="117"/>
      <c r="C45" s="117"/>
      <c r="D45" s="117"/>
      <c r="E45" s="117"/>
      <c r="F45" s="117"/>
      <c r="G45" s="117"/>
      <c r="H45" s="117"/>
      <c r="I45" s="117"/>
    </row>
    <row r="46" spans="1:9">
      <c r="A46" s="117"/>
      <c r="B46" s="117"/>
      <c r="C46" s="117"/>
      <c r="D46" s="117"/>
      <c r="E46" s="117"/>
      <c r="F46" s="117"/>
      <c r="G46" s="117"/>
      <c r="H46" s="117"/>
      <c r="I46" s="117"/>
    </row>
    <row r="47" spans="1:9">
      <c r="A47" s="117"/>
      <c r="B47" s="117"/>
      <c r="C47" s="117"/>
      <c r="D47" s="117"/>
      <c r="E47" s="117"/>
      <c r="F47" s="117"/>
      <c r="G47" s="117"/>
      <c r="H47" s="117"/>
      <c r="I47" s="117"/>
    </row>
    <row r="48" spans="1:9">
      <c r="A48" s="117"/>
      <c r="B48" s="117"/>
      <c r="C48" s="117"/>
      <c r="D48" s="117"/>
      <c r="E48" s="117"/>
      <c r="F48" s="117"/>
      <c r="G48" s="117"/>
      <c r="H48" s="117"/>
      <c r="I48" s="117"/>
    </row>
    <row r="49" spans="1:9">
      <c r="A49" s="117"/>
      <c r="B49" s="117"/>
      <c r="C49" s="117"/>
      <c r="D49" s="117"/>
      <c r="E49" s="117"/>
      <c r="F49" s="117"/>
      <c r="G49" s="117"/>
      <c r="H49" s="117"/>
      <c r="I49" s="117"/>
    </row>
    <row r="50" spans="1:9">
      <c r="A50" s="117"/>
      <c r="B50" s="117"/>
      <c r="C50" s="117"/>
      <c r="D50" s="117"/>
      <c r="E50" s="117"/>
      <c r="F50" s="117"/>
      <c r="G50" s="117"/>
      <c r="H50" s="117"/>
      <c r="I50" s="117"/>
    </row>
    <row r="51" spans="1:9">
      <c r="A51" s="117"/>
      <c r="B51" s="117"/>
      <c r="C51" s="117"/>
      <c r="D51" s="117"/>
      <c r="E51" s="117"/>
      <c r="F51" s="117"/>
      <c r="G51" s="117"/>
      <c r="H51" s="117"/>
      <c r="I51" s="117"/>
    </row>
    <row r="52" spans="1:9">
      <c r="A52" s="117"/>
      <c r="B52" s="117"/>
      <c r="C52" s="117"/>
      <c r="D52" s="117"/>
      <c r="E52" s="117"/>
      <c r="F52" s="117"/>
      <c r="G52" s="117"/>
      <c r="H52" s="117"/>
      <c r="I52" s="117"/>
    </row>
    <row r="53" spans="1:9">
      <c r="A53" s="117"/>
      <c r="B53" s="117"/>
      <c r="C53" s="117"/>
      <c r="D53" s="117"/>
      <c r="E53" s="117"/>
      <c r="F53" s="117"/>
      <c r="G53" s="117"/>
      <c r="H53" s="117"/>
      <c r="I53" s="117"/>
    </row>
    <row r="54" spans="1:9">
      <c r="A54" s="117"/>
      <c r="B54" s="117"/>
      <c r="C54" s="117"/>
      <c r="D54" s="117"/>
      <c r="E54" s="117"/>
      <c r="F54" s="117"/>
      <c r="G54" s="117"/>
      <c r="H54" s="117"/>
      <c r="I54" s="117"/>
    </row>
    <row r="55" spans="1:9">
      <c r="A55" s="117"/>
      <c r="B55" s="117"/>
      <c r="C55" s="117"/>
      <c r="D55" s="117"/>
      <c r="E55" s="117"/>
      <c r="F55" s="117"/>
      <c r="G55" s="117"/>
      <c r="H55" s="117"/>
      <c r="I55" s="117"/>
    </row>
    <row r="56" spans="1:9">
      <c r="A56" s="117"/>
      <c r="B56" s="117"/>
      <c r="C56" s="117"/>
      <c r="D56" s="117"/>
      <c r="E56" s="117"/>
      <c r="F56" s="117"/>
      <c r="G56" s="117"/>
      <c r="H56" s="117"/>
      <c r="I56" s="117"/>
    </row>
    <row r="57" spans="1:9">
      <c r="A57" s="117"/>
      <c r="B57" s="117"/>
      <c r="C57" s="117"/>
      <c r="D57" s="117"/>
      <c r="E57" s="117"/>
      <c r="F57" s="117"/>
      <c r="G57" s="117"/>
      <c r="H57" s="117"/>
      <c r="I57" s="117"/>
    </row>
  </sheetData>
  <sheetProtection algorithmName="SHA-512" hashValue="f63WKB8zwdni8l2qC+naT1PDY55qZbtPl3jtJrorw2qLJgWMICaAGQmQ/G7sJMuMFYCGWyvt3NzSMOMiskqVBA==" saltValue="PIE6zq8bAqC9hs9Ee2gudw==" spinCount="100000" sheet="1" selectLockedCells="1"/>
  <mergeCells count="6">
    <mergeCell ref="A28:A33"/>
    <mergeCell ref="A17:B18"/>
    <mergeCell ref="C17:E17"/>
    <mergeCell ref="A19:A24"/>
    <mergeCell ref="A26:B27"/>
    <mergeCell ref="C26:E26"/>
  </mergeCells>
  <phoneticPr fontId="2"/>
  <dataValidations count="1">
    <dataValidation type="list" allowBlank="1" showInputMessage="1" showErrorMessage="1" sqref="C5" xr:uid="{00000000-0002-0000-0200-000000000000}">
      <formula1>$O$5:$O$7</formula1>
    </dataValidation>
  </dataValidations>
  <pageMargins left="0.7" right="0.7" top="0.75" bottom="0.75" header="0.3" footer="0.3"/>
  <pageSetup paperSize="9" scale="46"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J13"/>
  <sheetViews>
    <sheetView workbookViewId="0">
      <selection activeCell="J2" sqref="J2"/>
    </sheetView>
  </sheetViews>
  <sheetFormatPr defaultColWidth="8.69921875" defaultRowHeight="18"/>
  <cols>
    <col min="1" max="1" width="9.3984375" style="116" bestFit="1" customWidth="1"/>
    <col min="2" max="2" width="17.19921875" style="116" customWidth="1"/>
    <col min="3" max="3" width="8.69921875" style="116"/>
    <col min="4" max="4" width="12.5" style="116" bestFit="1" customWidth="1"/>
    <col min="5" max="5" width="8.69921875" style="116"/>
    <col min="6" max="6" width="12.5" style="116" bestFit="1" customWidth="1"/>
    <col min="7" max="7" width="17" style="116" customWidth="1"/>
    <col min="8" max="8" width="8.69921875" style="116"/>
    <col min="9" max="9" width="18.59765625" style="116" bestFit="1" customWidth="1"/>
    <col min="10" max="10" width="14.19921875" style="116" customWidth="1"/>
    <col min="11" max="16384" width="8.69921875" style="116"/>
  </cols>
  <sheetData>
    <row r="1" spans="1:10" ht="18.600000000000001" thickBot="1"/>
    <row r="2" spans="1:10" ht="23.7" customHeight="1" thickBot="1">
      <c r="A2" s="119" t="s">
        <v>110</v>
      </c>
      <c r="B2" s="119" t="s">
        <v>111</v>
      </c>
      <c r="D2" s="116" t="s">
        <v>112</v>
      </c>
      <c r="F2" s="144" t="s">
        <v>113</v>
      </c>
      <c r="G2" s="145">
        <v>12000000</v>
      </c>
      <c r="H2" s="144"/>
      <c r="I2" s="144" t="s">
        <v>114</v>
      </c>
      <c r="J2" s="145">
        <f>SUM(D3:D13)</f>
        <v>10050000</v>
      </c>
    </row>
    <row r="3" spans="1:10">
      <c r="A3" s="134">
        <v>0</v>
      </c>
      <c r="B3" s="134">
        <v>550999</v>
      </c>
      <c r="D3" s="146" t="str">
        <f>IF(AND($G$2&gt;=A3,$G$2&lt;=B3),0,"")</f>
        <v/>
      </c>
    </row>
    <row r="4" spans="1:10">
      <c r="A4" s="134">
        <v>551000</v>
      </c>
      <c r="B4" s="134">
        <v>1618999</v>
      </c>
      <c r="D4" s="146" t="str">
        <f>IF(AND($G$2&gt;=A4,$G$2&lt;=B4),G2-550000,"")</f>
        <v/>
      </c>
    </row>
    <row r="5" spans="1:10">
      <c r="A5" s="134">
        <v>1619000</v>
      </c>
      <c r="B5" s="134">
        <v>1619999</v>
      </c>
      <c r="D5" s="146" t="str">
        <f>IF(AND($G$2&gt;=A5,$G$2&lt;=B5),1069000,"")</f>
        <v/>
      </c>
    </row>
    <row r="6" spans="1:10">
      <c r="A6" s="134">
        <v>1620000</v>
      </c>
      <c r="B6" s="134">
        <v>1621999</v>
      </c>
      <c r="D6" s="146" t="str">
        <f>IF(AND($G$2&gt;=A6,$G$2&lt;=B6),1070000,"")</f>
        <v/>
      </c>
    </row>
    <row r="7" spans="1:10">
      <c r="A7" s="134">
        <v>1622000</v>
      </c>
      <c r="B7" s="134">
        <v>1623999</v>
      </c>
      <c r="D7" s="146" t="str">
        <f>IF(AND($G$2&gt;=A7,$G$2&lt;=B7),1072000,"")</f>
        <v/>
      </c>
    </row>
    <row r="8" spans="1:10">
      <c r="A8" s="134">
        <v>1624000</v>
      </c>
      <c r="B8" s="134">
        <v>1627999</v>
      </c>
      <c r="D8" s="146" t="str">
        <f>IF(AND($G$2&gt;=A8,$G$2&lt;=B8),1074000,"")</f>
        <v/>
      </c>
    </row>
    <row r="9" spans="1:10">
      <c r="A9" s="134">
        <v>1628000</v>
      </c>
      <c r="B9" s="134">
        <v>1799999</v>
      </c>
      <c r="D9" s="146" t="str">
        <f>IF(AND($G$2&gt;=A9,$G$2&lt;=B9),(INT($G$2/4000)*4000*0.6)+100000,"")</f>
        <v/>
      </c>
    </row>
    <row r="10" spans="1:10">
      <c r="A10" s="134">
        <v>1800000</v>
      </c>
      <c r="B10" s="134">
        <v>3599999</v>
      </c>
      <c r="D10" s="146" t="str">
        <f>IF(AND($G$2&gt;=A10,$G$2&lt;=B10),(INT($G$2/4000)*4000*0.7)-80000,"")</f>
        <v/>
      </c>
    </row>
    <row r="11" spans="1:10">
      <c r="A11" s="134">
        <v>3600000</v>
      </c>
      <c r="B11" s="134">
        <v>6599999</v>
      </c>
      <c r="D11" s="146" t="str">
        <f>IF(AND($G$2&gt;=A11,$G$2&lt;=B11),(INT($G$2/4000)*4000*0.8)-440000,"")</f>
        <v/>
      </c>
    </row>
    <row r="12" spans="1:10">
      <c r="A12" s="134">
        <v>6600000</v>
      </c>
      <c r="B12" s="134">
        <v>8499999</v>
      </c>
      <c r="D12" s="146" t="str">
        <f>IF(AND($G$2&gt;=A12,$G$2&lt;=B12),($G$2*0.9)-1100000,"")</f>
        <v/>
      </c>
    </row>
    <row r="13" spans="1:10">
      <c r="A13" s="134">
        <v>8500000</v>
      </c>
      <c r="B13" s="134">
        <v>9.9999999999999895E+21</v>
      </c>
      <c r="D13" s="146">
        <f>IF(AND($G$2&gt;=A13,$G$2&lt;=B13),$G$2-1950000,"")</f>
        <v>10050000</v>
      </c>
    </row>
  </sheetData>
  <phoneticPr fontId="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B1:G8"/>
  <sheetViews>
    <sheetView workbookViewId="0">
      <selection activeCell="B7" sqref="B7"/>
    </sheetView>
  </sheetViews>
  <sheetFormatPr defaultColWidth="8.69921875" defaultRowHeight="18"/>
  <cols>
    <col min="1" max="1" width="8.69921875" style="116"/>
    <col min="2" max="2" width="20.3984375" style="116" bestFit="1" customWidth="1"/>
    <col min="3" max="3" width="20.3984375" style="116" customWidth="1"/>
    <col min="4" max="16384" width="8.69921875" style="116"/>
  </cols>
  <sheetData>
    <row r="1" spans="2:7">
      <c r="E1" s="116" t="s">
        <v>19</v>
      </c>
    </row>
    <row r="2" spans="2:7">
      <c r="B2" s="116" t="s">
        <v>122</v>
      </c>
      <c r="C2" s="116">
        <v>1</v>
      </c>
      <c r="E2" s="116" t="s">
        <v>24</v>
      </c>
      <c r="G2" s="116" t="s">
        <v>18</v>
      </c>
    </row>
    <row r="3" spans="2:7">
      <c r="B3" s="116" t="s">
        <v>25</v>
      </c>
      <c r="C3" s="116">
        <v>2</v>
      </c>
      <c r="E3" s="116" t="s">
        <v>115</v>
      </c>
      <c r="G3" s="116" t="s">
        <v>116</v>
      </c>
    </row>
    <row r="4" spans="2:7" ht="19.8">
      <c r="B4" s="116" t="s">
        <v>118</v>
      </c>
      <c r="C4" s="116">
        <v>3</v>
      </c>
    </row>
    <row r="5" spans="2:7" ht="19.8">
      <c r="B5" s="116" t="s">
        <v>117</v>
      </c>
      <c r="C5" s="116">
        <v>4</v>
      </c>
    </row>
    <row r="6" spans="2:7">
      <c r="B6" s="116" t="s">
        <v>30</v>
      </c>
      <c r="C6" s="116">
        <v>5</v>
      </c>
    </row>
    <row r="7" spans="2:7">
      <c r="B7" s="116" t="s">
        <v>33</v>
      </c>
      <c r="C7" s="116">
        <v>6</v>
      </c>
    </row>
    <row r="8" spans="2:7">
      <c r="B8" s="116" t="s">
        <v>36</v>
      </c>
      <c r="C8" s="116">
        <v>7</v>
      </c>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R8</vt:lpstr>
      <vt:lpstr>源泉徴収票（給与）</vt:lpstr>
      <vt:lpstr>公的年金等の所得計算方法</vt:lpstr>
      <vt:lpstr>給与所得の計算</vt:lpstr>
      <vt:lpstr>リスト用</vt:lpstr>
      <vt:lpstr>公的年金等の所得計算方法!Print_Area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2024-03-22T07:47:23Z</dcterms:created>
  <dcterms:modified xsi:type="dcterms:W3CDTF">2026-03-27T06:10:30Z</dcterms:modified>
  <cp:category/>
  <cp:contentStatus/>
</cp:coreProperties>
</file>